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0055" windowHeight="7440" tabRatio="586" activeTab="2"/>
  </bookViews>
  <sheets>
    <sheet name="Budget" sheetId="1" r:id="rId1"/>
    <sheet name="P &amp; L statement " sheetId="6" r:id="rId2"/>
    <sheet name="Projected Repayments" sheetId="7" r:id="rId3"/>
  </sheets>
  <calcPr calcId="124519"/>
</workbook>
</file>

<file path=xl/calcChain.xml><?xml version="1.0" encoding="utf-8"?>
<calcChain xmlns="http://schemas.openxmlformats.org/spreadsheetml/2006/main">
  <c r="E31" i="6"/>
  <c r="F31"/>
  <c r="G31"/>
  <c r="H31"/>
  <c r="D31"/>
  <c r="F20" i="7"/>
  <c r="G10"/>
  <c r="F19"/>
  <c r="F11"/>
  <c r="F10"/>
  <c r="E4" i="6" l="1"/>
  <c r="F4" s="1"/>
  <c r="G4" s="1"/>
  <c r="H4" s="1"/>
  <c r="F66" i="1"/>
  <c r="H40"/>
  <c r="I40"/>
  <c r="J40"/>
  <c r="K40"/>
  <c r="A10" i="6"/>
  <c r="G66" i="1" l="1"/>
  <c r="H66"/>
  <c r="I66" s="1"/>
  <c r="F39"/>
  <c r="G39" l="1"/>
  <c r="G40" s="1"/>
  <c r="E10" i="6"/>
  <c r="F38" i="1"/>
  <c r="G38" s="1"/>
  <c r="H94"/>
  <c r="I94" s="1"/>
  <c r="J94" s="1"/>
  <c r="K94" s="1"/>
  <c r="H85"/>
  <c r="I85" s="1"/>
  <c r="J85" s="1"/>
  <c r="K85" s="1"/>
  <c r="F85"/>
  <c r="H87"/>
  <c r="H86"/>
  <c r="F84"/>
  <c r="H84"/>
  <c r="F94"/>
  <c r="G94" s="1"/>
  <c r="H68"/>
  <c r="I68" s="1"/>
  <c r="J68" s="1"/>
  <c r="F68"/>
  <c r="H65"/>
  <c r="F65"/>
  <c r="H67"/>
  <c r="I67" s="1"/>
  <c r="J67" s="1"/>
  <c r="K67" s="1"/>
  <c r="F67"/>
  <c r="F69"/>
  <c r="H69" s="1"/>
  <c r="F86"/>
  <c r="F83"/>
  <c r="F55"/>
  <c r="F54"/>
  <c r="F53"/>
  <c r="L53" s="1"/>
  <c r="M53" s="1"/>
  <c r="F52"/>
  <c r="L52" s="1"/>
  <c r="M52" s="1"/>
  <c r="F51"/>
  <c r="F87"/>
  <c r="G87" s="1"/>
  <c r="G84"/>
  <c r="M107"/>
  <c r="F104"/>
  <c r="H104" s="1"/>
  <c r="I104" s="1"/>
  <c r="J104" s="1"/>
  <c r="K104" s="1"/>
  <c r="F99"/>
  <c r="F98"/>
  <c r="G98" s="1"/>
  <c r="F89"/>
  <c r="H89" s="1"/>
  <c r="I89" s="1"/>
  <c r="J89" s="1"/>
  <c r="K89" s="1"/>
  <c r="F88"/>
  <c r="H88" s="1"/>
  <c r="I88" s="1"/>
  <c r="J88" s="1"/>
  <c r="K88" s="1"/>
  <c r="G83"/>
  <c r="F82"/>
  <c r="G82" s="1"/>
  <c r="F78"/>
  <c r="L78" s="1"/>
  <c r="M78" s="1"/>
  <c r="F77"/>
  <c r="G77" s="1"/>
  <c r="F76"/>
  <c r="G76" s="1"/>
  <c r="F75"/>
  <c r="G75" s="1"/>
  <c r="F74"/>
  <c r="G74" s="1"/>
  <c r="F73"/>
  <c r="G73" s="1"/>
  <c r="I62"/>
  <c r="J62"/>
  <c r="K62"/>
  <c r="H62"/>
  <c r="F61"/>
  <c r="G61" s="1"/>
  <c r="F46"/>
  <c r="L46" s="1"/>
  <c r="M46" s="1"/>
  <c r="F45"/>
  <c r="L45" s="1"/>
  <c r="M45" s="1"/>
  <c r="F44"/>
  <c r="L44" s="1"/>
  <c r="M44" s="1"/>
  <c r="F43"/>
  <c r="L43" s="1"/>
  <c r="M43" s="1"/>
  <c r="F34"/>
  <c r="L34" s="1"/>
  <c r="M34" s="1"/>
  <c r="F33"/>
  <c r="L33" s="1"/>
  <c r="M33" s="1"/>
  <c r="F32"/>
  <c r="L32" s="1"/>
  <c r="M32" s="1"/>
  <c r="F31"/>
  <c r="L31" s="1"/>
  <c r="M31" s="1"/>
  <c r="F30"/>
  <c r="L30" s="1"/>
  <c r="M30" s="1"/>
  <c r="F29"/>
  <c r="L29" s="1"/>
  <c r="M29" s="1"/>
  <c r="F28"/>
  <c r="L28" s="1"/>
  <c r="M28" s="1"/>
  <c r="F27"/>
  <c r="L27" s="1"/>
  <c r="M27" s="1"/>
  <c r="F26"/>
  <c r="L26" s="1"/>
  <c r="M26" s="1"/>
  <c r="F25"/>
  <c r="L25" s="1"/>
  <c r="M25" s="1"/>
  <c r="F24"/>
  <c r="L24" s="1"/>
  <c r="M24" s="1"/>
  <c r="F23"/>
  <c r="L23" s="1"/>
  <c r="M23" s="1"/>
  <c r="F22"/>
  <c r="L22" s="1"/>
  <c r="H8"/>
  <c r="H9"/>
  <c r="H10"/>
  <c r="I10" s="1"/>
  <c r="J10" s="1"/>
  <c r="K10" s="1"/>
  <c r="H11"/>
  <c r="I11" s="1"/>
  <c r="J11" s="1"/>
  <c r="K11" s="1"/>
  <c r="H12"/>
  <c r="I12" s="1"/>
  <c r="J12" s="1"/>
  <c r="K12" s="1"/>
  <c r="H13"/>
  <c r="I13" s="1"/>
  <c r="H14"/>
  <c r="H15"/>
  <c r="H16"/>
  <c r="H17"/>
  <c r="H7"/>
  <c r="F14"/>
  <c r="G14" s="1"/>
  <c r="F15"/>
  <c r="G15" s="1"/>
  <c r="F16"/>
  <c r="G16" s="1"/>
  <c r="F17"/>
  <c r="G17" s="1"/>
  <c r="F12"/>
  <c r="G12" s="1"/>
  <c r="F13"/>
  <c r="G13" s="1"/>
  <c r="F7"/>
  <c r="G7" s="1"/>
  <c r="F8"/>
  <c r="G8" s="1"/>
  <c r="F9"/>
  <c r="G9" s="1"/>
  <c r="F10"/>
  <c r="G10" s="1"/>
  <c r="F11"/>
  <c r="G11" s="1"/>
  <c r="I14"/>
  <c r="J14" s="1"/>
  <c r="K14" s="1"/>
  <c r="E6" i="6"/>
  <c r="F40" i="1" l="1"/>
  <c r="H99"/>
  <c r="I99" s="1"/>
  <c r="J99" s="1"/>
  <c r="K99" s="1"/>
  <c r="D22" i="6"/>
  <c r="D10"/>
  <c r="L38" i="1"/>
  <c r="M38" s="1"/>
  <c r="G6" i="6"/>
  <c r="F6"/>
  <c r="H6"/>
  <c r="L39" i="1"/>
  <c r="L40" s="1"/>
  <c r="L67"/>
  <c r="M67" s="1"/>
  <c r="L94"/>
  <c r="K68"/>
  <c r="L68" s="1"/>
  <c r="M68" s="1"/>
  <c r="L85"/>
  <c r="M85" s="1"/>
  <c r="J69"/>
  <c r="H70"/>
  <c r="E9" i="6" s="1"/>
  <c r="F100" i="1"/>
  <c r="H100" s="1"/>
  <c r="J100" s="1"/>
  <c r="K100" s="1"/>
  <c r="I65"/>
  <c r="G85"/>
  <c r="G104"/>
  <c r="F18"/>
  <c r="D16" i="6" s="1"/>
  <c r="G34" i="1"/>
  <c r="G30"/>
  <c r="G26"/>
  <c r="G67"/>
  <c r="G22"/>
  <c r="G32"/>
  <c r="G28"/>
  <c r="G24"/>
  <c r="G69"/>
  <c r="I69" s="1"/>
  <c r="K69" s="1"/>
  <c r="G89"/>
  <c r="G43"/>
  <c r="G45"/>
  <c r="G53"/>
  <c r="G65"/>
  <c r="G99"/>
  <c r="G33"/>
  <c r="G31"/>
  <c r="G29"/>
  <c r="G27"/>
  <c r="G25"/>
  <c r="G23"/>
  <c r="G46"/>
  <c r="G44"/>
  <c r="G52"/>
  <c r="G68"/>
  <c r="G78"/>
  <c r="G88"/>
  <c r="L104"/>
  <c r="M104" s="1"/>
  <c r="F95"/>
  <c r="G95" s="1"/>
  <c r="F79"/>
  <c r="D19" i="6" s="1"/>
  <c r="F70" i="1"/>
  <c r="D9" i="6" s="1"/>
  <c r="F35" i="1"/>
  <c r="H18"/>
  <c r="E16" i="6" s="1"/>
  <c r="J13" i="1"/>
  <c r="K13" s="1"/>
  <c r="L14"/>
  <c r="M14" s="1"/>
  <c r="L12"/>
  <c r="M12" s="1"/>
  <c r="L11"/>
  <c r="M11" s="1"/>
  <c r="L10"/>
  <c r="M10" s="1"/>
  <c r="I8"/>
  <c r="J8" s="1"/>
  <c r="K8" s="1"/>
  <c r="D6" i="6"/>
  <c r="G70" i="1" l="1"/>
  <c r="G18"/>
  <c r="F10" i="6"/>
  <c r="J66" i="1"/>
  <c r="M39"/>
  <c r="M40" s="1"/>
  <c r="G100"/>
  <c r="I100" s="1"/>
  <c r="L69"/>
  <c r="M69" s="1"/>
  <c r="I70"/>
  <c r="F9" i="6" s="1"/>
  <c r="J65" i="1"/>
  <c r="L35"/>
  <c r="M35" s="1"/>
  <c r="G35"/>
  <c r="L79"/>
  <c r="M79" s="1"/>
  <c r="G79"/>
  <c r="L13"/>
  <c r="M13" s="1"/>
  <c r="L8"/>
  <c r="M8" s="1"/>
  <c r="E23" i="6"/>
  <c r="F23"/>
  <c r="G23"/>
  <c r="H23"/>
  <c r="F18"/>
  <c r="G18"/>
  <c r="H18"/>
  <c r="K66" i="1" l="1"/>
  <c r="L66"/>
  <c r="G10" i="6"/>
  <c r="K65" i="1"/>
  <c r="J70"/>
  <c r="G9" i="6" s="1"/>
  <c r="L75" i="1"/>
  <c r="M75" s="1"/>
  <c r="L76"/>
  <c r="M76" s="1"/>
  <c r="L77"/>
  <c r="M77" s="1"/>
  <c r="F60"/>
  <c r="G54"/>
  <c r="H83"/>
  <c r="I83" s="1"/>
  <c r="J83" s="1"/>
  <c r="K83" s="1"/>
  <c r="L83" s="1"/>
  <c r="M83" s="1"/>
  <c r="H82"/>
  <c r="L74"/>
  <c r="M74" s="1"/>
  <c r="L73"/>
  <c r="M73" s="1"/>
  <c r="M66" l="1"/>
  <c r="H10" i="6"/>
  <c r="L65" i="1"/>
  <c r="M65" s="1"/>
  <c r="K70"/>
  <c r="I86"/>
  <c r="J86" s="1"/>
  <c r="K86" s="1"/>
  <c r="G86"/>
  <c r="L60"/>
  <c r="M60" s="1"/>
  <c r="G60"/>
  <c r="I84"/>
  <c r="J84" s="1"/>
  <c r="K84" s="1"/>
  <c r="I82"/>
  <c r="L54"/>
  <c r="M54" s="1"/>
  <c r="L70" l="1"/>
  <c r="M70" s="1"/>
  <c r="H9" i="6"/>
  <c r="J82" i="1"/>
  <c r="K82" l="1"/>
  <c r="F59"/>
  <c r="G59" s="1"/>
  <c r="G55"/>
  <c r="L51" l="1"/>
  <c r="M51" s="1"/>
  <c r="G51"/>
  <c r="L59"/>
  <c r="M59" s="1"/>
  <c r="F62"/>
  <c r="L55"/>
  <c r="M55" s="1"/>
  <c r="D11" i="6"/>
  <c r="D13" s="1"/>
  <c r="D18"/>
  <c r="I9" i="1"/>
  <c r="F102"/>
  <c r="D23" i="6"/>
  <c r="H98" i="1"/>
  <c r="L82"/>
  <c r="L84"/>
  <c r="M84" s="1"/>
  <c r="L86"/>
  <c r="M86" s="1"/>
  <c r="F47"/>
  <c r="I7"/>
  <c r="J7" s="1"/>
  <c r="K7" s="1"/>
  <c r="L62" l="1"/>
  <c r="M62" s="1"/>
  <c r="G62"/>
  <c r="F48"/>
  <c r="G47"/>
  <c r="D24" i="6"/>
  <c r="G102" i="1"/>
  <c r="L48"/>
  <c r="M48" s="1"/>
  <c r="M82"/>
  <c r="F56"/>
  <c r="G56" s="1"/>
  <c r="J9"/>
  <c r="F11" i="6"/>
  <c r="F13" s="1"/>
  <c r="E11"/>
  <c r="E13" s="1"/>
  <c r="L47" i="1"/>
  <c r="M47" s="1"/>
  <c r="L100"/>
  <c r="M100" s="1"/>
  <c r="H102"/>
  <c r="E24" i="6" s="1"/>
  <c r="H61" i="1"/>
  <c r="E22" i="6"/>
  <c r="I98" i="1"/>
  <c r="L7"/>
  <c r="M7" s="1"/>
  <c r="G48" l="1"/>
  <c r="L56"/>
  <c r="M56" s="1"/>
  <c r="E21" i="6"/>
  <c r="E18"/>
  <c r="L61" i="1"/>
  <c r="M61" s="1"/>
  <c r="K9"/>
  <c r="L88"/>
  <c r="M88" s="1"/>
  <c r="G11" i="6"/>
  <c r="G13" s="1"/>
  <c r="I102" i="1"/>
  <c r="F24" i="6" s="1"/>
  <c r="F22"/>
  <c r="J98" i="1"/>
  <c r="K98" s="1"/>
  <c r="G21" i="6" l="1"/>
  <c r="H95" i="1"/>
  <c r="L9"/>
  <c r="M9" s="1"/>
  <c r="H11" i="6"/>
  <c r="H13" s="1"/>
  <c r="J102" i="1"/>
  <c r="K102" s="1"/>
  <c r="H24" i="6" s="1"/>
  <c r="F21"/>
  <c r="H22"/>
  <c r="G22"/>
  <c r="L98" i="1"/>
  <c r="M98" s="1"/>
  <c r="J95" l="1"/>
  <c r="H21" i="6"/>
  <c r="I95" i="1"/>
  <c r="G24" i="6"/>
  <c r="M94" i="1"/>
  <c r="L102"/>
  <c r="M102" s="1"/>
  <c r="L99"/>
  <c r="M99" s="1"/>
  <c r="K95" l="1"/>
  <c r="L95" s="1"/>
  <c r="M95" s="1"/>
  <c r="G20" i="6"/>
  <c r="F20"/>
  <c r="E20"/>
  <c r="D20"/>
  <c r="I17" i="1" l="1"/>
  <c r="J17" s="1"/>
  <c r="K17" s="1"/>
  <c r="I16"/>
  <c r="J16" s="1"/>
  <c r="K16" s="1"/>
  <c r="I15"/>
  <c r="J15" l="1"/>
  <c r="I18"/>
  <c r="F16" i="6" s="1"/>
  <c r="L16" i="1"/>
  <c r="M16" s="1"/>
  <c r="L17"/>
  <c r="M17" s="1"/>
  <c r="K15" l="1"/>
  <c r="J18"/>
  <c r="G16" i="6" s="1"/>
  <c r="K18" i="1" l="1"/>
  <c r="H16" i="6" s="1"/>
  <c r="L15" i="1"/>
  <c r="M15" s="1"/>
  <c r="L18" l="1"/>
  <c r="M18" s="1"/>
  <c r="M22" l="1"/>
  <c r="G26" i="6"/>
  <c r="G27" s="1"/>
  <c r="E26"/>
  <c r="E27" s="1"/>
  <c r="F26"/>
  <c r="F27" s="1"/>
  <c r="E28" l="1"/>
  <c r="E30" s="1"/>
  <c r="F28"/>
  <c r="F30" s="1"/>
  <c r="G28"/>
  <c r="G30" s="1"/>
  <c r="E32" l="1"/>
  <c r="C12" i="7" s="1"/>
  <c r="E12" s="1"/>
  <c r="D12" l="1"/>
  <c r="F12"/>
  <c r="G32" i="6"/>
  <c r="C14" i="7" s="1"/>
  <c r="E14" s="1"/>
  <c r="F32" i="6"/>
  <c r="C13" i="7" s="1"/>
  <c r="E13" s="1"/>
  <c r="D21" i="6"/>
  <c r="H20"/>
  <c r="H26" s="1"/>
  <c r="H27" s="1"/>
  <c r="H28" s="1"/>
  <c r="H30" s="1"/>
  <c r="F90" i="1"/>
  <c r="D13" i="7" l="1"/>
  <c r="F13"/>
  <c r="D14"/>
  <c r="F14"/>
  <c r="H32" i="6"/>
  <c r="C15" i="7" s="1"/>
  <c r="E15" s="1"/>
  <c r="G90" i="1"/>
  <c r="G107" s="1"/>
  <c r="H90"/>
  <c r="I87"/>
  <c r="D15" i="7" l="1"/>
  <c r="F15"/>
  <c r="C16"/>
  <c r="E16" s="1"/>
  <c r="J87" i="1"/>
  <c r="I90"/>
  <c r="C17" i="7" l="1"/>
  <c r="E17" s="1"/>
  <c r="D16"/>
  <c r="F16"/>
  <c r="K87" i="1"/>
  <c r="K90" s="1"/>
  <c r="J90"/>
  <c r="C18" i="7" l="1"/>
  <c r="E18" s="1"/>
  <c r="D17"/>
  <c r="F17"/>
  <c r="L87" i="1"/>
  <c r="M87" s="1"/>
  <c r="L90"/>
  <c r="M90" s="1"/>
  <c r="M106" s="1"/>
  <c r="F106"/>
  <c r="F107" s="1"/>
  <c r="D17" i="6"/>
  <c r="D26" s="1"/>
  <c r="D27" s="1"/>
  <c r="L89" i="1" l="1"/>
  <c r="M89" s="1"/>
  <c r="C19" i="7"/>
  <c r="D18"/>
  <c r="F18"/>
  <c r="C2"/>
  <c r="D28" i="6"/>
  <c r="D30" s="1"/>
  <c r="D32" s="1"/>
  <c r="G106" i="1"/>
  <c r="J106"/>
  <c r="J107" s="1"/>
  <c r="H106"/>
  <c r="H107" s="1"/>
  <c r="K106"/>
  <c r="K107" s="1"/>
  <c r="I106"/>
  <c r="I107" s="1"/>
  <c r="D19" i="7" l="1"/>
  <c r="C20"/>
  <c r="D20" s="1"/>
  <c r="C3"/>
  <c r="D2"/>
  <c r="G11"/>
  <c r="H10"/>
  <c r="L106" i="1"/>
  <c r="L107" s="1"/>
  <c r="D3" i="7" l="1"/>
  <c r="D4" s="1"/>
  <c r="C4"/>
  <c r="G12"/>
  <c r="H11"/>
  <c r="G13" l="1"/>
  <c r="H12"/>
  <c r="G14" l="1"/>
  <c r="H13"/>
  <c r="G15" l="1"/>
  <c r="H14"/>
  <c r="G16" l="1"/>
  <c r="H15"/>
  <c r="H16" l="1"/>
  <c r="G17"/>
  <c r="G18" l="1"/>
  <c r="H17"/>
  <c r="H18" l="1"/>
  <c r="G19"/>
  <c r="H19" l="1"/>
  <c r="G20"/>
  <c r="H20" s="1"/>
</calcChain>
</file>

<file path=xl/comments1.xml><?xml version="1.0" encoding="utf-8"?>
<comments xmlns="http://schemas.openxmlformats.org/spreadsheetml/2006/main">
  <authors>
    <author>hp</author>
  </authors>
  <commentList>
    <comment ref="D82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30,000 Quails consumes 36 bags of 50 Kgs per month at 15,000MK)
</t>
        </r>
      </text>
    </comment>
  </commentList>
</comments>
</file>

<file path=xl/comments2.xml><?xml version="1.0" encoding="utf-8"?>
<comments xmlns="http://schemas.openxmlformats.org/spreadsheetml/2006/main">
  <authors>
    <author>pc1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pc1:</t>
        </r>
        <r>
          <rPr>
            <sz val="9"/>
            <color indexed="81"/>
            <rFont val="Tahoma"/>
            <family val="2"/>
          </rPr>
          <t xml:space="preserve">
In year 1 we don’t expect to have production because we will be raising parent stock.
In year 2 we expect to produce 2,500 chicks per week for 48 weeks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pc1:</t>
        </r>
        <r>
          <rPr>
            <sz val="9"/>
            <color indexed="81"/>
            <rFont val="Tahoma"/>
            <family val="2"/>
          </rPr>
          <t xml:space="preserve">
In Year 1 we don’t expect to produce chicks because we will be constructing chicke houses and raising parent stock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pc1:</t>
        </r>
        <r>
          <rPr>
            <sz val="9"/>
            <color indexed="81"/>
            <rFont val="Tahoma"/>
            <family val="2"/>
          </rPr>
          <t xml:space="preserve">
In Year 2 we expect to produce 2,500 chicks for 48 weeks to be sold at K6,000 each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pc1:</t>
        </r>
        <r>
          <rPr>
            <sz val="9"/>
            <color indexed="81"/>
            <rFont val="Tahoma"/>
            <family val="2"/>
          </rPr>
          <t xml:space="preserve">
In year 3 we expect to produce 3,000 chicks per week for 48 weeks and sell at K6,000 each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pc1:</t>
        </r>
        <r>
          <rPr>
            <sz val="9"/>
            <color indexed="81"/>
            <rFont val="Tahoma"/>
            <family val="2"/>
          </rPr>
          <t xml:space="preserve">
In year 4 we expect to produce 3000 chicks for 48 weeks and sell at K6,500 each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pc1:</t>
        </r>
        <r>
          <rPr>
            <sz val="9"/>
            <color indexed="81"/>
            <rFont val="Tahoma"/>
            <family val="2"/>
          </rPr>
          <t xml:space="preserve">
In year 5 we expect to produce 3,000 chicks fro 48 weeks and sell at K7,000 each</t>
        </r>
      </text>
    </comment>
  </commentList>
</comments>
</file>

<file path=xl/sharedStrings.xml><?xml version="1.0" encoding="utf-8"?>
<sst xmlns="http://schemas.openxmlformats.org/spreadsheetml/2006/main" count="225" uniqueCount="168">
  <si>
    <t>Description of Budget Item</t>
  </si>
  <si>
    <t>Measure</t>
  </si>
  <si>
    <t>Year 2 (MK)</t>
  </si>
  <si>
    <t>Year 3 (MK)</t>
  </si>
  <si>
    <t>Year 4 (MK)</t>
  </si>
  <si>
    <t>Year 5 (MK)</t>
  </si>
  <si>
    <t>Total (MK)</t>
  </si>
  <si>
    <t>Total  ($)</t>
  </si>
  <si>
    <t xml:space="preserve">1. Salaries </t>
  </si>
  <si>
    <t>pple</t>
  </si>
  <si>
    <t>Finance &amp; Administration Officer</t>
  </si>
  <si>
    <t xml:space="preserve">pple </t>
  </si>
  <si>
    <t>Stores Clerk</t>
  </si>
  <si>
    <t xml:space="preserve">Drivers </t>
  </si>
  <si>
    <t xml:space="preserve">Security Guards </t>
  </si>
  <si>
    <t>Subtotal Salaries (MK)</t>
  </si>
  <si>
    <t xml:space="preserve"> </t>
  </si>
  <si>
    <t xml:space="preserve">1.5 Tons Pick Up </t>
  </si>
  <si>
    <t>set</t>
  </si>
  <si>
    <t>Computers &amp; Printers</t>
  </si>
  <si>
    <t>item</t>
  </si>
  <si>
    <t xml:space="preserve">3. Installations </t>
  </si>
  <si>
    <t>fees</t>
  </si>
  <si>
    <t>4. Supplies</t>
  </si>
  <si>
    <t>Protective wear</t>
  </si>
  <si>
    <t xml:space="preserve">pieces </t>
  </si>
  <si>
    <t xml:space="preserve">5. Constructions </t>
  </si>
  <si>
    <t>6. Project Support Costs</t>
  </si>
  <si>
    <t>Motor Vehicle Insurance</t>
  </si>
  <si>
    <t>lumpsum</t>
  </si>
  <si>
    <t>Motor Vehicle Maintanance</t>
  </si>
  <si>
    <t>Services</t>
  </si>
  <si>
    <t xml:space="preserve">Utilities </t>
  </si>
  <si>
    <t>Office Supplies and Stationery</t>
  </si>
  <si>
    <t>Office Maintanace</t>
  </si>
  <si>
    <t>Subtotal Project Support cost</t>
  </si>
  <si>
    <t>7. Promotion and Marketing</t>
  </si>
  <si>
    <t>Adverts</t>
  </si>
  <si>
    <t>Subtotal Promotion and Marketing</t>
  </si>
  <si>
    <t xml:space="preserve">8. Finance Management </t>
  </si>
  <si>
    <t xml:space="preserve">Auditing </t>
  </si>
  <si>
    <t>Board/Governance meetings</t>
  </si>
  <si>
    <t xml:space="preserve">Subtotal Finance Managemet </t>
  </si>
  <si>
    <t>10. Capacity building for staff</t>
  </si>
  <si>
    <t>FQY</t>
  </si>
  <si>
    <t xml:space="preserve"> Units</t>
  </si>
  <si>
    <t>Year 1</t>
  </si>
  <si>
    <t>Year 2</t>
  </si>
  <si>
    <t>Year 3</t>
  </si>
  <si>
    <t>Year 4</t>
  </si>
  <si>
    <t>Year 5</t>
  </si>
  <si>
    <t>Sales</t>
  </si>
  <si>
    <t>Expected Production</t>
  </si>
  <si>
    <t xml:space="preserve">Sales/Unit </t>
  </si>
  <si>
    <t xml:space="preserve">Total Sales </t>
  </si>
  <si>
    <t xml:space="preserve">Cost of Goods Sold </t>
  </si>
  <si>
    <t xml:space="preserve">Total Cost of goods sold </t>
  </si>
  <si>
    <t>Gross Profit (SALES - COGS)</t>
  </si>
  <si>
    <t xml:space="preserve">9. Recruitment </t>
  </si>
  <si>
    <t xml:space="preserve">Total Operating Costs </t>
  </si>
  <si>
    <t>Income Before Tax (Gross Profit-Operating Costs)</t>
  </si>
  <si>
    <t>Government Tax-Value Added Tax-VAT (16.5%)</t>
  </si>
  <si>
    <t>Net Profit(USD)</t>
  </si>
  <si>
    <t xml:space="preserve">Notes </t>
  </si>
  <si>
    <t>Managing Director</t>
  </si>
  <si>
    <t>Each</t>
  </si>
  <si>
    <t>Sum</t>
  </si>
  <si>
    <t xml:space="preserve">Solar Water Pumping and plumbing </t>
  </si>
  <si>
    <t>sets</t>
  </si>
  <si>
    <t xml:space="preserve">Electricity connection to ESCOM Grid </t>
  </si>
  <si>
    <t>Track</t>
  </si>
  <si>
    <t xml:space="preserve">2. Capital Items </t>
  </si>
  <si>
    <t xml:space="preserve">Profit  before dividend </t>
  </si>
  <si>
    <t>Total Sales per Annum</t>
  </si>
  <si>
    <t>Net Profit /Loss (MK)</t>
  </si>
  <si>
    <t>system</t>
  </si>
  <si>
    <t>Vehicle</t>
  </si>
  <si>
    <t>INCOME STATEMENT PROJECTIONS FOR UWEMI POULTRY &amp; FISH FARMING - AGDEVCO PROJECT BUDGET</t>
  </si>
  <si>
    <r>
      <t>(</t>
    </r>
    <r>
      <rPr>
        <i/>
        <sz val="10"/>
        <color theme="1"/>
        <rFont val="Arial Narrow"/>
        <family val="2"/>
      </rPr>
      <t>Less) Initial /</t>
    </r>
    <r>
      <rPr>
        <sz val="10"/>
        <color theme="1"/>
        <rFont val="Arial Narrow"/>
        <family val="2"/>
      </rPr>
      <t xml:space="preserve">Operating Expenses </t>
    </r>
  </si>
  <si>
    <r>
      <rPr>
        <b/>
        <sz val="10"/>
        <rFont val="Arial Narrow"/>
        <family val="2"/>
      </rPr>
      <t xml:space="preserve">Note              </t>
    </r>
    <r>
      <rPr>
        <sz val="10"/>
        <rFont val="Arial Narrow"/>
        <family val="2"/>
      </rPr>
      <t>Foreign Exchange Rate    $1  = MK</t>
    </r>
  </si>
  <si>
    <t>Administrative Secretary</t>
  </si>
  <si>
    <t>Subtotal Constructions</t>
  </si>
  <si>
    <t xml:space="preserve">Sales Clerks </t>
  </si>
  <si>
    <t xml:space="preserve">Subtotal  Installations </t>
  </si>
  <si>
    <t xml:space="preserve">MOTO BRIQUETTING - BUDGET &amp; CASH-FLOW STATEMENT </t>
  </si>
  <si>
    <t>Procurement Officer</t>
  </si>
  <si>
    <t>Production Manager</t>
  </si>
  <si>
    <t>Machine Operators</t>
  </si>
  <si>
    <t>Factory Attendants</t>
  </si>
  <si>
    <t>2. CAPITAL ITEMS</t>
  </si>
  <si>
    <t>2.1 Briquette Factory</t>
  </si>
  <si>
    <t>5M Belt Conveyor</t>
  </si>
  <si>
    <t>Drum Screen</t>
  </si>
  <si>
    <t>3M Screw Conveyor</t>
  </si>
  <si>
    <t>3M Charcoal Dust Distributor</t>
  </si>
  <si>
    <t>Rotary Drum Dryer GT2000</t>
  </si>
  <si>
    <t>Mixer cum Blender (India)</t>
  </si>
  <si>
    <t>Pillow Shaped Briquette Machine (India)</t>
  </si>
  <si>
    <t>Rotary Drum Carbonization Stove</t>
  </si>
  <si>
    <t>Shipping costs China to Dar-esalaam</t>
  </si>
  <si>
    <t>Shipping costs India to Dar-esalaam</t>
  </si>
  <si>
    <t>Shipping Dar-esalaam to Mzuzu (China B.)</t>
  </si>
  <si>
    <t>sum</t>
  </si>
  <si>
    <t>Shipping Dar-esalaam to Mzuzu (India B.)</t>
  </si>
  <si>
    <t>Initial Required Spare Parts</t>
  </si>
  <si>
    <t>Subtotal Briquette Factory</t>
  </si>
  <si>
    <t>JJC-30 Cleaning and Hoisting Machine</t>
  </si>
  <si>
    <t>Starch Extraction</t>
  </si>
  <si>
    <t>Drying Machine</t>
  </si>
  <si>
    <t>Shipping China to Dar-esalaam</t>
  </si>
  <si>
    <t>Shipping Dar-esalaam to Mzuzu</t>
  </si>
  <si>
    <t>Subtotal Starch Production Machines</t>
  </si>
  <si>
    <t xml:space="preserve">Raw Material Collection Tracks </t>
  </si>
  <si>
    <t>Distribution Track</t>
  </si>
  <si>
    <t>2.3 Trucks &amp; Office Furniture</t>
  </si>
  <si>
    <t>Subtotal Trucks &amp; Furniture</t>
  </si>
  <si>
    <t xml:space="preserve">Start-up Raw Materials </t>
  </si>
  <si>
    <t>Factory Fuels</t>
  </si>
  <si>
    <t>Start-up Inventory</t>
  </si>
  <si>
    <t>Electricity</t>
  </si>
  <si>
    <t>Ware-house</t>
  </si>
  <si>
    <t>Briquette Factory</t>
  </si>
  <si>
    <t>Office Shelter</t>
  </si>
  <si>
    <t>Change Rooms</t>
  </si>
  <si>
    <t xml:space="preserve">Excavation Works </t>
  </si>
  <si>
    <t>Security Fence</t>
  </si>
  <si>
    <t>Fence</t>
  </si>
  <si>
    <t xml:space="preserve">Packing materials </t>
  </si>
  <si>
    <t>YR 1 USD</t>
  </si>
  <si>
    <t>YR 1 (MK)</t>
  </si>
  <si>
    <t xml:space="preserve">Unit Costs </t>
  </si>
  <si>
    <t>Instal and Commission Machines</t>
  </si>
  <si>
    <t>Office furniture (Tables and Chairs)</t>
  </si>
  <si>
    <t>stocks</t>
  </si>
  <si>
    <t>monthly</t>
  </si>
  <si>
    <t>Rentals</t>
  </si>
  <si>
    <t>1. SALARIES</t>
  </si>
  <si>
    <t xml:space="preserve">3. INSTALLATIONS </t>
  </si>
  <si>
    <t>4. SUPPLIES</t>
  </si>
  <si>
    <t>5. CONSTRUCTIONS</t>
  </si>
  <si>
    <t>6. PROJECT SUPPORT COSTS</t>
  </si>
  <si>
    <t>7. PROMOTION AND MARKETING</t>
  </si>
  <si>
    <t>8. FINANCE MANAGEMENT</t>
  </si>
  <si>
    <t xml:space="preserve">9. RECRUITMENT  </t>
  </si>
  <si>
    <t xml:space="preserve">10. STAFF CAPACITY BUILDING </t>
  </si>
  <si>
    <t xml:space="preserve">GRAND TOTAL IN MWK </t>
  </si>
  <si>
    <t xml:space="preserve">GRAND TOTAL IN USD </t>
  </si>
  <si>
    <t>2.2.2 Starch Production Machines</t>
  </si>
  <si>
    <t>2.2 .1Starch Production (Farm)</t>
  </si>
  <si>
    <t>Purchase of Soya Farm</t>
  </si>
  <si>
    <t>Subtotal</t>
  </si>
  <si>
    <t>Tractor &amp; Accessories</t>
  </si>
  <si>
    <t>Developing Casava Farm</t>
  </si>
  <si>
    <t>30KGs Bags of Briquettes</t>
  </si>
  <si>
    <t>USD</t>
  </si>
  <si>
    <t>MWK</t>
  </si>
  <si>
    <t xml:space="preserve">Principal </t>
  </si>
  <si>
    <t xml:space="preserve">Interests </t>
  </si>
  <si>
    <t xml:space="preserve">Total Loan </t>
  </si>
  <si>
    <t>LOAN REPAYMENTS PROJECTED SCHEDULE</t>
  </si>
  <si>
    <t>YEAR</t>
  </si>
  <si>
    <t>NET PROFIT PROJECTION</t>
  </si>
  <si>
    <t>REPAYMENT PROJECTIONS</t>
  </si>
  <si>
    <t xml:space="preserve"> LOAN BALANCE AS OF YEAR</t>
  </si>
  <si>
    <t>NOTES</t>
  </si>
  <si>
    <t>Loan fully repaid in 11 years</t>
  </si>
  <si>
    <t>Assumed the loan funds will be accessed end 2019</t>
  </si>
  <si>
    <t xml:space="preserve">the main activity in 2020 will be setting up.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</si>
</sst>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color rgb="FFFFC000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</cellStyleXfs>
  <cellXfs count="210">
    <xf numFmtId="0" fontId="0" fillId="0" borderId="0" xfId="0"/>
    <xf numFmtId="43" fontId="0" fillId="0" borderId="0" xfId="1" applyFont="1"/>
    <xf numFmtId="0" fontId="5" fillId="0" borderId="0" xfId="0" applyFont="1"/>
    <xf numFmtId="0" fontId="0" fillId="4" borderId="0" xfId="0" applyFill="1"/>
    <xf numFmtId="43" fontId="0" fillId="0" borderId="0" xfId="0" applyNumberFormat="1"/>
    <xf numFmtId="0" fontId="6" fillId="7" borderId="0" xfId="0" applyFont="1" applyFill="1"/>
    <xf numFmtId="0" fontId="5" fillId="7" borderId="0" xfId="0" applyFont="1" applyFill="1"/>
    <xf numFmtId="0" fontId="5" fillId="2" borderId="2" xfId="0" applyFont="1" applyFill="1" applyBorder="1"/>
    <xf numFmtId="0" fontId="6" fillId="2" borderId="2" xfId="0" applyFont="1" applyFill="1" applyBorder="1"/>
    <xf numFmtId="43" fontId="6" fillId="2" borderId="2" xfId="1" applyFont="1" applyFill="1" applyBorder="1"/>
    <xf numFmtId="0" fontId="6" fillId="11" borderId="2" xfId="0" applyFont="1" applyFill="1" applyBorder="1"/>
    <xf numFmtId="0" fontId="6" fillId="11" borderId="2" xfId="0" applyFont="1" applyFill="1" applyBorder="1" applyAlignment="1">
      <alignment wrapText="1"/>
    </xf>
    <xf numFmtId="0" fontId="6" fillId="11" borderId="2" xfId="0" applyFont="1" applyFill="1" applyBorder="1" applyAlignment="1"/>
    <xf numFmtId="0" fontId="7" fillId="0" borderId="2" xfId="0" applyFont="1" applyBorder="1"/>
    <xf numFmtId="43" fontId="5" fillId="0" borderId="2" xfId="1" applyFont="1" applyBorder="1"/>
    <xf numFmtId="164" fontId="5" fillId="0" borderId="2" xfId="0" applyNumberFormat="1" applyFont="1" applyBorder="1"/>
    <xf numFmtId="0" fontId="5" fillId="11" borderId="2" xfId="0" applyFont="1" applyFill="1" applyBorder="1"/>
    <xf numFmtId="164" fontId="6" fillId="11" borderId="2" xfId="0" applyNumberFormat="1" applyFont="1" applyFill="1" applyBorder="1"/>
    <xf numFmtId="0" fontId="5" fillId="0" borderId="2" xfId="0" applyFont="1" applyBorder="1"/>
    <xf numFmtId="0" fontId="6" fillId="0" borderId="2" xfId="0" applyFont="1" applyBorder="1"/>
    <xf numFmtId="0" fontId="7" fillId="0" borderId="2" xfId="0" applyFont="1" applyFill="1" applyBorder="1"/>
    <xf numFmtId="0" fontId="6" fillId="4" borderId="2" xfId="0" applyFont="1" applyFill="1" applyBorder="1"/>
    <xf numFmtId="43" fontId="6" fillId="4" borderId="2" xfId="0" applyNumberFormat="1" applyFont="1" applyFill="1" applyBorder="1"/>
    <xf numFmtId="0" fontId="5" fillId="0" borderId="2" xfId="0" applyFont="1" applyFill="1" applyBorder="1"/>
    <xf numFmtId="43" fontId="5" fillId="0" borderId="2" xfId="1" applyFont="1" applyFill="1" applyBorder="1"/>
    <xf numFmtId="0" fontId="6" fillId="12" borderId="2" xfId="0" applyFont="1" applyFill="1" applyBorder="1"/>
    <xf numFmtId="0" fontId="5" fillId="13" borderId="2" xfId="0" applyFont="1" applyFill="1" applyBorder="1"/>
    <xf numFmtId="43" fontId="7" fillId="13" borderId="2" xfId="1" applyFont="1" applyFill="1" applyBorder="1"/>
    <xf numFmtId="43" fontId="7" fillId="0" borderId="2" xfId="6" applyFont="1" applyFill="1" applyBorder="1"/>
    <xf numFmtId="43" fontId="7" fillId="0" borderId="2" xfId="1" applyFont="1" applyFill="1" applyBorder="1"/>
    <xf numFmtId="0" fontId="7" fillId="0" borderId="2" xfId="0" applyFont="1" applyFill="1" applyBorder="1" applyAlignment="1">
      <alignment wrapText="1"/>
    </xf>
    <xf numFmtId="43" fontId="7" fillId="0" borderId="2" xfId="1" applyFont="1" applyFill="1" applyBorder="1" applyAlignment="1">
      <alignment wrapText="1"/>
    </xf>
    <xf numFmtId="164" fontId="7" fillId="0" borderId="2" xfId="7" applyNumberFormat="1" applyFont="1" applyFill="1" applyBorder="1" applyAlignment="1" applyProtection="1">
      <protection locked="0"/>
    </xf>
    <xf numFmtId="43" fontId="7" fillId="0" borderId="2" xfId="6" applyFont="1" applyFill="1" applyBorder="1" applyAlignment="1" applyProtection="1">
      <alignment vertical="top" wrapText="1"/>
      <protection locked="0"/>
    </xf>
    <xf numFmtId="164" fontId="7" fillId="0" borderId="2" xfId="7" applyNumberFormat="1" applyFont="1" applyFill="1" applyBorder="1" applyAlignment="1" applyProtection="1">
      <alignment vertical="top" wrapText="1"/>
      <protection locked="0"/>
    </xf>
    <xf numFmtId="43" fontId="6" fillId="11" borderId="2" xfId="0" applyNumberFormat="1" applyFont="1" applyFill="1" applyBorder="1"/>
    <xf numFmtId="43" fontId="6" fillId="11" borderId="2" xfId="1" applyFont="1" applyFill="1" applyBorder="1"/>
    <xf numFmtId="0" fontId="6" fillId="12" borderId="2" xfId="0" applyFont="1" applyFill="1" applyBorder="1" applyAlignment="1">
      <alignment wrapText="1"/>
    </xf>
    <xf numFmtId="164" fontId="5" fillId="13" borderId="2" xfId="0" applyNumberFormat="1" applyFont="1" applyFill="1" applyBorder="1"/>
    <xf numFmtId="0" fontId="6" fillId="7" borderId="2" xfId="0" applyFont="1" applyFill="1" applyBorder="1"/>
    <xf numFmtId="0" fontId="5" fillId="7" borderId="2" xfId="0" applyFont="1" applyFill="1" applyBorder="1"/>
    <xf numFmtId="164" fontId="6" fillId="7" borderId="2" xfId="0" applyNumberFormat="1" applyFont="1" applyFill="1" applyBorder="1"/>
    <xf numFmtId="43" fontId="6" fillId="7" borderId="2" xfId="1" applyFont="1" applyFill="1" applyBorder="1"/>
    <xf numFmtId="0" fontId="6" fillId="3" borderId="2" xfId="0" applyFont="1" applyFill="1" applyBorder="1" applyAlignment="1">
      <alignment wrapText="1"/>
    </xf>
    <xf numFmtId="0" fontId="5" fillId="3" borderId="2" xfId="0" applyFont="1" applyFill="1" applyBorder="1"/>
    <xf numFmtId="43" fontId="6" fillId="3" borderId="2" xfId="1" applyFont="1" applyFill="1" applyBorder="1"/>
    <xf numFmtId="0" fontId="6" fillId="4" borderId="0" xfId="0" applyFont="1" applyFill="1" applyBorder="1" applyAlignment="1">
      <alignment wrapText="1"/>
    </xf>
    <xf numFmtId="0" fontId="5" fillId="4" borderId="0" xfId="0" applyFont="1" applyFill="1"/>
    <xf numFmtId="164" fontId="6" fillId="4" borderId="0" xfId="0" applyNumberFormat="1" applyFont="1" applyFill="1"/>
    <xf numFmtId="43" fontId="6" fillId="4" borderId="0" xfId="1" applyFont="1" applyFill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43" fontId="5" fillId="0" borderId="0" xfId="1" applyFont="1"/>
    <xf numFmtId="0" fontId="7" fillId="0" borderId="0" xfId="0" applyFont="1"/>
    <xf numFmtId="0" fontId="6" fillId="0" borderId="0" xfId="0" applyFont="1" applyFill="1" applyBorder="1" applyAlignment="1">
      <alignment wrapText="1"/>
    </xf>
    <xf numFmtId="164" fontId="5" fillId="0" borderId="0" xfId="0" applyNumberFormat="1" applyFont="1"/>
    <xf numFmtId="43" fontId="10" fillId="7" borderId="0" xfId="1" applyFont="1" applyFill="1"/>
    <xf numFmtId="43" fontId="6" fillId="3" borderId="2" xfId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1" fillId="4" borderId="0" xfId="0" applyFont="1" applyFill="1"/>
    <xf numFmtId="0" fontId="0" fillId="4" borderId="0" xfId="0" applyFont="1" applyFill="1"/>
    <xf numFmtId="43" fontId="0" fillId="4" borderId="0" xfId="0" applyNumberFormat="1" applyFont="1" applyFill="1"/>
    <xf numFmtId="0" fontId="13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0" fontId="14" fillId="2" borderId="2" xfId="0" applyFont="1" applyFill="1" applyBorder="1"/>
    <xf numFmtId="0" fontId="13" fillId="0" borderId="1" xfId="0" applyFont="1" applyBorder="1"/>
    <xf numFmtId="0" fontId="13" fillId="0" borderId="2" xfId="0" applyFont="1" applyBorder="1"/>
    <xf numFmtId="43" fontId="12" fillId="0" borderId="2" xfId="1" applyFont="1" applyBorder="1" applyAlignment="1">
      <alignment wrapText="1"/>
    </xf>
    <xf numFmtId="43" fontId="15" fillId="0" borderId="2" xfId="1" applyFont="1" applyBorder="1" applyAlignment="1">
      <alignment wrapText="1"/>
    </xf>
    <xf numFmtId="0" fontId="15" fillId="0" borderId="2" xfId="0" applyFont="1" applyFill="1" applyBorder="1"/>
    <xf numFmtId="0" fontId="16" fillId="0" borderId="2" xfId="0" applyFont="1" applyBorder="1"/>
    <xf numFmtId="43" fontId="16" fillId="0" borderId="2" xfId="1" applyFont="1" applyBorder="1"/>
    <xf numFmtId="0" fontId="12" fillId="0" borderId="2" xfId="0" applyFont="1" applyFill="1" applyBorder="1"/>
    <xf numFmtId="0" fontId="12" fillId="3" borderId="2" xfId="0" applyFont="1" applyFill="1" applyBorder="1"/>
    <xf numFmtId="0" fontId="13" fillId="3" borderId="2" xfId="0" applyFont="1" applyFill="1" applyBorder="1"/>
    <xf numFmtId="43" fontId="13" fillId="3" borderId="2" xfId="1" applyFont="1" applyFill="1" applyBorder="1"/>
    <xf numFmtId="0" fontId="13" fillId="4" borderId="2" xfId="0" applyFont="1" applyFill="1" applyBorder="1"/>
    <xf numFmtId="0" fontId="12" fillId="4" borderId="2" xfId="0" applyFont="1" applyFill="1" applyBorder="1"/>
    <xf numFmtId="43" fontId="13" fillId="4" borderId="2" xfId="1" applyFont="1" applyFill="1" applyBorder="1"/>
    <xf numFmtId="43" fontId="13" fillId="0" borderId="2" xfId="1" applyFont="1" applyBorder="1"/>
    <xf numFmtId="164" fontId="12" fillId="4" borderId="2" xfId="0" applyNumberFormat="1" applyFont="1" applyFill="1" applyBorder="1"/>
    <xf numFmtId="0" fontId="13" fillId="0" borderId="2" xfId="0" applyFont="1" applyBorder="1" applyAlignment="1">
      <alignment wrapText="1"/>
    </xf>
    <xf numFmtId="43" fontId="13" fillId="0" borderId="2" xfId="1" applyFont="1" applyFill="1" applyBorder="1" applyAlignment="1">
      <alignment wrapText="1"/>
    </xf>
    <xf numFmtId="0" fontId="12" fillId="3" borderId="2" xfId="0" applyFont="1" applyFill="1" applyBorder="1" applyAlignment="1"/>
    <xf numFmtId="0" fontId="12" fillId="3" borderId="2" xfId="0" applyFont="1" applyFill="1" applyBorder="1" applyAlignment="1">
      <alignment wrapText="1"/>
    </xf>
    <xf numFmtId="43" fontId="12" fillId="3" borderId="2" xfId="1" applyFont="1" applyFill="1" applyBorder="1" applyAlignment="1">
      <alignment wrapText="1"/>
    </xf>
    <xf numFmtId="43" fontId="12" fillId="3" borderId="2" xfId="1" applyFont="1" applyFill="1" applyBorder="1"/>
    <xf numFmtId="164" fontId="12" fillId="3" borderId="2" xfId="0" applyNumberFormat="1" applyFont="1" applyFill="1" applyBorder="1"/>
    <xf numFmtId="0" fontId="12" fillId="4" borderId="2" xfId="0" applyFont="1" applyFill="1" applyBorder="1" applyAlignment="1"/>
    <xf numFmtId="0" fontId="12" fillId="4" borderId="2" xfId="0" applyFont="1" applyFill="1" applyBorder="1" applyAlignment="1">
      <alignment wrapText="1"/>
    </xf>
    <xf numFmtId="43" fontId="12" fillId="4" borderId="2" xfId="1" applyFont="1" applyFill="1" applyBorder="1" applyAlignment="1">
      <alignment wrapText="1"/>
    </xf>
    <xf numFmtId="43" fontId="12" fillId="4" borderId="2" xfId="1" applyFont="1" applyFill="1" applyBorder="1"/>
    <xf numFmtId="43" fontId="12" fillId="3" borderId="2" xfId="1" applyFont="1" applyFill="1" applyBorder="1" applyAlignment="1"/>
    <xf numFmtId="43" fontId="12" fillId="3" borderId="2" xfId="0" applyNumberFormat="1" applyFont="1" applyFill="1" applyBorder="1"/>
    <xf numFmtId="0" fontId="13" fillId="4" borderId="2" xfId="0" applyFont="1" applyFill="1" applyBorder="1" applyAlignment="1"/>
    <xf numFmtId="43" fontId="13" fillId="4" borderId="2" xfId="1" applyFont="1" applyFill="1" applyBorder="1" applyAlignment="1"/>
    <xf numFmtId="43" fontId="12" fillId="4" borderId="2" xfId="0" applyNumberFormat="1" applyFont="1" applyFill="1" applyBorder="1"/>
    <xf numFmtId="43" fontId="12" fillId="4" borderId="2" xfId="1" applyFont="1" applyFill="1" applyBorder="1" applyAlignment="1"/>
    <xf numFmtId="43" fontId="13" fillId="3" borderId="2" xfId="1" applyFont="1" applyFill="1" applyBorder="1" applyAlignment="1"/>
    <xf numFmtId="0" fontId="13" fillId="3" borderId="2" xfId="0" applyFont="1" applyFill="1" applyBorder="1" applyAlignment="1"/>
    <xf numFmtId="0" fontId="13" fillId="0" borderId="2" xfId="0" applyFont="1" applyBorder="1" applyAlignment="1"/>
    <xf numFmtId="43" fontId="13" fillId="0" borderId="2" xfId="1" applyFont="1" applyBorder="1" applyAlignment="1"/>
    <xf numFmtId="43" fontId="12" fillId="0" borderId="2" xfId="0" applyNumberFormat="1" applyFont="1" applyBorder="1"/>
    <xf numFmtId="0" fontId="13" fillId="0" borderId="0" xfId="0" applyFont="1" applyBorder="1" applyAlignment="1"/>
    <xf numFmtId="0" fontId="13" fillId="4" borderId="0" xfId="0" applyFont="1" applyFill="1" applyBorder="1" applyAlignment="1"/>
    <xf numFmtId="3" fontId="13" fillId="3" borderId="2" xfId="0" applyNumberFormat="1" applyFont="1" applyFill="1" applyBorder="1"/>
    <xf numFmtId="3" fontId="13" fillId="4" borderId="2" xfId="0" applyNumberFormat="1" applyFont="1" applyFill="1" applyBorder="1"/>
    <xf numFmtId="0" fontId="17" fillId="3" borderId="2" xfId="0" applyFont="1" applyFill="1" applyBorder="1"/>
    <xf numFmtId="3" fontId="17" fillId="3" borderId="2" xfId="0" applyNumberFormat="1" applyFont="1" applyFill="1" applyBorder="1"/>
    <xf numFmtId="43" fontId="17" fillId="3" borderId="2" xfId="1" applyFont="1" applyFill="1" applyBorder="1"/>
    <xf numFmtId="0" fontId="13" fillId="3" borderId="2" xfId="0" applyFont="1" applyFill="1" applyBorder="1" applyAlignment="1">
      <alignment wrapText="1"/>
    </xf>
    <xf numFmtId="43" fontId="12" fillId="4" borderId="2" xfId="0" applyNumberFormat="1" applyFont="1" applyFill="1" applyBorder="1" applyAlignment="1"/>
    <xf numFmtId="43" fontId="12" fillId="3" borderId="2" xfId="0" applyNumberFormat="1" applyFont="1" applyFill="1" applyBorder="1" applyAlignment="1"/>
    <xf numFmtId="0" fontId="13" fillId="0" borderId="2" xfId="0" applyFont="1" applyFill="1" applyBorder="1" applyAlignment="1"/>
    <xf numFmtId="43" fontId="13" fillId="0" borderId="2" xfId="1" applyFont="1" applyFill="1" applyBorder="1"/>
    <xf numFmtId="43" fontId="13" fillId="0" borderId="2" xfId="1" applyFont="1" applyFill="1" applyBorder="1" applyAlignment="1"/>
    <xf numFmtId="0" fontId="13" fillId="0" borderId="2" xfId="0" applyFont="1" applyFill="1" applyBorder="1"/>
    <xf numFmtId="3" fontId="13" fillId="0" borderId="2" xfId="0" applyNumberFormat="1" applyFont="1" applyFill="1" applyBorder="1" applyAlignment="1"/>
    <xf numFmtId="43" fontId="13" fillId="4" borderId="2" xfId="1" applyFont="1" applyFill="1" applyBorder="1" applyAlignment="1">
      <alignment wrapText="1"/>
    </xf>
    <xf numFmtId="0" fontId="13" fillId="4" borderId="2" xfId="0" applyFont="1" applyFill="1" applyBorder="1" applyAlignment="1">
      <alignment wrapText="1"/>
    </xf>
    <xf numFmtId="43" fontId="13" fillId="4" borderId="2" xfId="0" applyNumberFormat="1" applyFont="1" applyFill="1" applyBorder="1" applyAlignment="1"/>
    <xf numFmtId="43" fontId="13" fillId="3" borderId="2" xfId="5" applyFont="1" applyFill="1" applyBorder="1" applyAlignment="1" applyProtection="1">
      <protection locked="0"/>
    </xf>
    <xf numFmtId="164" fontId="13" fillId="4" borderId="2" xfId="3" applyNumberFormat="1" applyFont="1" applyFill="1" applyBorder="1" applyAlignment="1" applyProtection="1">
      <protection locked="0"/>
    </xf>
    <xf numFmtId="165" fontId="13" fillId="4" borderId="2" xfId="3" applyNumberFormat="1" applyFont="1" applyFill="1" applyBorder="1" applyAlignment="1" applyProtection="1">
      <protection locked="0"/>
    </xf>
    <xf numFmtId="165" fontId="13" fillId="4" borderId="2" xfId="4" applyNumberFormat="1" applyFont="1" applyFill="1" applyBorder="1" applyAlignment="1" applyProtection="1">
      <protection locked="0"/>
    </xf>
    <xf numFmtId="43" fontId="13" fillId="4" borderId="2" xfId="5" applyFont="1" applyFill="1" applyBorder="1" applyAlignment="1" applyProtection="1">
      <protection locked="0"/>
    </xf>
    <xf numFmtId="165" fontId="13" fillId="4" borderId="2" xfId="4" applyNumberFormat="1" applyFont="1" applyFill="1" applyBorder="1" applyAlignment="1" applyProtection="1">
      <alignment horizontal="right"/>
      <protection locked="0"/>
    </xf>
    <xf numFmtId="164" fontId="13" fillId="14" borderId="2" xfId="4" applyNumberFormat="1" applyFont="1" applyFill="1" applyBorder="1" applyAlignment="1" applyProtection="1">
      <alignment vertical="top" wrapText="1"/>
      <protection locked="0"/>
    </xf>
    <xf numFmtId="164" fontId="12" fillId="3" borderId="2" xfId="3" applyNumberFormat="1" applyFont="1" applyFill="1" applyBorder="1" applyAlignment="1" applyProtection="1">
      <protection locked="0"/>
    </xf>
    <xf numFmtId="165" fontId="12" fillId="3" borderId="2" xfId="3" applyNumberFormat="1" applyFont="1" applyFill="1" applyBorder="1" applyAlignment="1" applyProtection="1">
      <protection locked="0"/>
    </xf>
    <xf numFmtId="165" fontId="12" fillId="3" borderId="2" xfId="4" applyNumberFormat="1" applyFont="1" applyFill="1" applyBorder="1" applyAlignment="1" applyProtection="1">
      <protection locked="0"/>
    </xf>
    <xf numFmtId="43" fontId="12" fillId="3" borderId="2" xfId="5" applyFont="1" applyFill="1" applyBorder="1" applyAlignment="1" applyProtection="1">
      <alignment wrapText="1"/>
      <protection locked="0"/>
    </xf>
    <xf numFmtId="164" fontId="12" fillId="5" borderId="2" xfId="4" applyNumberFormat="1" applyFont="1" applyFill="1" applyBorder="1" applyAlignment="1" applyProtection="1">
      <alignment vertical="top" wrapText="1"/>
      <protection locked="0"/>
    </xf>
    <xf numFmtId="165" fontId="13" fillId="4" borderId="2" xfId="3" applyNumberFormat="1" applyFont="1" applyFill="1" applyBorder="1" applyAlignment="1" applyProtection="1">
      <alignment wrapText="1"/>
      <protection locked="0"/>
    </xf>
    <xf numFmtId="165" fontId="12" fillId="4" borderId="2" xfId="4" applyNumberFormat="1" applyFont="1" applyFill="1" applyBorder="1" applyAlignment="1" applyProtection="1">
      <alignment wrapText="1"/>
      <protection locked="0"/>
    </xf>
    <xf numFmtId="164" fontId="13" fillId="4" borderId="2" xfId="4" applyNumberFormat="1" applyFont="1" applyFill="1" applyBorder="1" applyAlignment="1" applyProtection="1">
      <alignment vertical="top" wrapText="1"/>
      <protection locked="0"/>
    </xf>
    <xf numFmtId="164" fontId="13" fillId="4" borderId="2" xfId="4" applyNumberFormat="1" applyFont="1" applyFill="1" applyBorder="1" applyAlignment="1" applyProtection="1">
      <protection locked="0"/>
    </xf>
    <xf numFmtId="165" fontId="13" fillId="3" borderId="2" xfId="3" applyNumberFormat="1" applyFont="1" applyFill="1" applyBorder="1" applyAlignment="1" applyProtection="1">
      <alignment wrapText="1"/>
      <protection locked="0"/>
    </xf>
    <xf numFmtId="165" fontId="12" fillId="3" borderId="2" xfId="4" applyNumberFormat="1" applyFont="1" applyFill="1" applyBorder="1" applyAlignment="1" applyProtection="1">
      <alignment wrapText="1"/>
      <protection locked="0"/>
    </xf>
    <xf numFmtId="43" fontId="13" fillId="3" borderId="3" xfId="1" applyFont="1" applyFill="1" applyBorder="1" applyAlignment="1">
      <alignment wrapText="1"/>
    </xf>
    <xf numFmtId="164" fontId="13" fillId="5" borderId="2" xfId="4" applyNumberFormat="1" applyFont="1" applyFill="1" applyBorder="1" applyAlignment="1" applyProtection="1">
      <alignment vertical="top" wrapText="1"/>
      <protection locked="0"/>
    </xf>
    <xf numFmtId="164" fontId="13" fillId="3" borderId="2" xfId="4" applyNumberFormat="1" applyFont="1" applyFill="1" applyBorder="1" applyAlignment="1" applyProtection="1">
      <alignment vertical="top" wrapText="1"/>
      <protection locked="0"/>
    </xf>
    <xf numFmtId="164" fontId="13" fillId="3" borderId="2" xfId="4" applyNumberFormat="1" applyFont="1" applyFill="1" applyBorder="1" applyAlignment="1" applyProtection="1">
      <protection locked="0"/>
    </xf>
    <xf numFmtId="0" fontId="13" fillId="4" borderId="2" xfId="2" applyFont="1" applyFill="1" applyBorder="1" applyAlignment="1">
      <alignment wrapText="1"/>
    </xf>
    <xf numFmtId="0" fontId="13" fillId="0" borderId="2" xfId="0" applyFont="1" applyFill="1" applyBorder="1" applyAlignment="1">
      <alignment wrapText="1"/>
    </xf>
    <xf numFmtId="43" fontId="12" fillId="3" borderId="3" xfId="1" applyFont="1" applyFill="1" applyBorder="1" applyAlignment="1">
      <alignment wrapText="1"/>
    </xf>
    <xf numFmtId="43" fontId="13" fillId="0" borderId="2" xfId="1" applyFont="1" applyBorder="1" applyAlignment="1">
      <alignment wrapText="1"/>
    </xf>
    <xf numFmtId="43" fontId="13" fillId="0" borderId="2" xfId="1" applyFont="1" applyFill="1" applyBorder="1" applyAlignment="1">
      <alignment horizontal="left"/>
    </xf>
    <xf numFmtId="0" fontId="13" fillId="4" borderId="3" xfId="0" applyFont="1" applyFill="1" applyBorder="1" applyAlignment="1">
      <alignment wrapText="1"/>
    </xf>
    <xf numFmtId="43" fontId="13" fillId="4" borderId="3" xfId="1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12" fillId="6" borderId="2" xfId="0" applyFont="1" applyFill="1" applyBorder="1" applyAlignment="1">
      <alignment wrapText="1"/>
    </xf>
    <xf numFmtId="43" fontId="12" fillId="7" borderId="2" xfId="1" applyFont="1" applyFill="1" applyBorder="1" applyAlignment="1">
      <alignment wrapText="1"/>
    </xf>
    <xf numFmtId="43" fontId="12" fillId="6" borderId="2" xfId="1" applyFont="1" applyFill="1" applyBorder="1" applyAlignment="1">
      <alignment wrapText="1"/>
    </xf>
    <xf numFmtId="43" fontId="12" fillId="15" borderId="2" xfId="1" applyFont="1" applyFill="1" applyBorder="1"/>
    <xf numFmtId="43" fontId="12" fillId="15" borderId="2" xfId="1" applyFont="1" applyFill="1" applyBorder="1" applyAlignment="1">
      <alignment wrapText="1"/>
    </xf>
    <xf numFmtId="43" fontId="12" fillId="6" borderId="2" xfId="1" applyFont="1" applyFill="1" applyBorder="1"/>
    <xf numFmtId="43" fontId="12" fillId="15" borderId="2" xfId="0" applyNumberFormat="1" applyFont="1" applyFill="1" applyBorder="1" applyAlignment="1"/>
    <xf numFmtId="0" fontId="12" fillId="4" borderId="3" xfId="0" applyFont="1" applyFill="1" applyBorder="1" applyAlignment="1">
      <alignment wrapText="1"/>
    </xf>
    <xf numFmtId="43" fontId="12" fillId="6" borderId="2" xfId="1" applyFont="1" applyFill="1" applyBorder="1" applyAlignment="1" applyProtection="1">
      <alignment vertical="top" wrapText="1"/>
      <protection locked="0"/>
    </xf>
    <xf numFmtId="0" fontId="12" fillId="7" borderId="2" xfId="0" applyFont="1" applyFill="1" applyBorder="1" applyAlignment="1">
      <alignment wrapText="1"/>
    </xf>
    <xf numFmtId="0" fontId="13" fillId="7" borderId="2" xfId="0" applyFont="1" applyFill="1" applyBorder="1" applyAlignment="1">
      <alignment wrapText="1"/>
    </xf>
    <xf numFmtId="43" fontId="12" fillId="7" borderId="2" xfId="1" applyFont="1" applyFill="1" applyBorder="1"/>
    <xf numFmtId="43" fontId="12" fillId="7" borderId="2" xfId="0" applyNumberFormat="1" applyFont="1" applyFill="1" applyBorder="1"/>
    <xf numFmtId="43" fontId="12" fillId="4" borderId="2" xfId="1" applyFont="1" applyFill="1" applyBorder="1" applyAlignment="1" applyProtection="1">
      <alignment vertical="top" wrapText="1"/>
      <protection locked="0"/>
    </xf>
    <xf numFmtId="164" fontId="12" fillId="7" borderId="2" xfId="3" applyNumberFormat="1" applyFont="1" applyFill="1" applyBorder="1" applyAlignment="1" applyProtection="1">
      <alignment vertical="top" wrapText="1"/>
      <protection locked="0"/>
    </xf>
    <xf numFmtId="164" fontId="12" fillId="4" borderId="2" xfId="3" applyNumberFormat="1" applyFont="1" applyFill="1" applyBorder="1" applyAlignment="1" applyProtection="1">
      <alignment vertical="top" wrapText="1"/>
      <protection locked="0"/>
    </xf>
    <xf numFmtId="0" fontId="12" fillId="8" borderId="2" xfId="0" applyFont="1" applyFill="1" applyBorder="1" applyAlignment="1">
      <alignment wrapText="1"/>
    </xf>
    <xf numFmtId="0" fontId="12" fillId="9" borderId="2" xfId="0" applyFont="1" applyFill="1" applyBorder="1" applyAlignment="1">
      <alignment wrapText="1"/>
    </xf>
    <xf numFmtId="0" fontId="13" fillId="8" borderId="2" xfId="0" applyFont="1" applyFill="1" applyBorder="1" applyAlignment="1">
      <alignment wrapText="1"/>
    </xf>
    <xf numFmtId="43" fontId="12" fillId="8" borderId="2" xfId="1" applyFont="1" applyFill="1" applyBorder="1" applyAlignment="1">
      <alignment wrapText="1"/>
    </xf>
    <xf numFmtId="0" fontId="12" fillId="10" borderId="2" xfId="0" applyFont="1" applyFill="1" applyBorder="1" applyAlignment="1">
      <alignment wrapText="1"/>
    </xf>
    <xf numFmtId="0" fontId="18" fillId="9" borderId="2" xfId="0" applyFont="1" applyFill="1" applyBorder="1" applyAlignment="1">
      <alignment wrapText="1"/>
    </xf>
    <xf numFmtId="0" fontId="19" fillId="0" borderId="0" xfId="0" applyFont="1"/>
    <xf numFmtId="43" fontId="12" fillId="10" borderId="2" xfId="1" applyFont="1" applyFill="1" applyBorder="1" applyAlignment="1">
      <alignment wrapText="1"/>
    </xf>
    <xf numFmtId="0" fontId="0" fillId="0" borderId="0" xfId="0" applyFont="1"/>
    <xf numFmtId="43" fontId="0" fillId="0" borderId="0" xfId="0" applyNumberFormat="1" applyFont="1"/>
    <xf numFmtId="43" fontId="13" fillId="4" borderId="2" xfId="0" applyNumberFormat="1" applyFont="1" applyFill="1" applyBorder="1"/>
    <xf numFmtId="166" fontId="5" fillId="0" borderId="2" xfId="1" applyNumberFormat="1" applyFont="1" applyBorder="1"/>
    <xf numFmtId="0" fontId="11" fillId="0" borderId="0" xfId="0" applyFont="1"/>
    <xf numFmtId="43" fontId="11" fillId="0" borderId="0" xfId="0" applyNumberFormat="1" applyFont="1"/>
    <xf numFmtId="43" fontId="11" fillId="0" borderId="0" xfId="1" applyFont="1"/>
    <xf numFmtId="0" fontId="11" fillId="4" borderId="4" xfId="0" applyFont="1" applyFill="1" applyBorder="1"/>
    <xf numFmtId="0" fontId="11" fillId="16" borderId="5" xfId="0" applyFont="1" applyFill="1" applyBorder="1"/>
    <xf numFmtId="43" fontId="11" fillId="16" borderId="5" xfId="1" applyFont="1" applyFill="1" applyBorder="1"/>
    <xf numFmtId="0" fontId="11" fillId="4" borderId="5" xfId="0" applyFont="1" applyFill="1" applyBorder="1"/>
    <xf numFmtId="0" fontId="11" fillId="17" borderId="5" xfId="0" applyFont="1" applyFill="1" applyBorder="1"/>
    <xf numFmtId="0" fontId="0" fillId="0" borderId="7" xfId="0" applyBorder="1"/>
    <xf numFmtId="43" fontId="0" fillId="16" borderId="2" xfId="0" applyNumberFormat="1" applyFill="1" applyBorder="1"/>
    <xf numFmtId="43" fontId="0" fillId="16" borderId="2" xfId="1" applyFont="1" applyFill="1" applyBorder="1"/>
    <xf numFmtId="43" fontId="0" fillId="0" borderId="2" xfId="0" applyNumberFormat="1" applyBorder="1"/>
    <xf numFmtId="43" fontId="0" fillId="17" borderId="2" xfId="0" applyNumberFormat="1" applyFill="1" applyBorder="1"/>
    <xf numFmtId="43" fontId="0" fillId="16" borderId="10" xfId="0" applyNumberFormat="1" applyFill="1" applyBorder="1"/>
    <xf numFmtId="43" fontId="0" fillId="0" borderId="10" xfId="0" applyNumberFormat="1" applyBorder="1"/>
    <xf numFmtId="43" fontId="0" fillId="17" borderId="10" xfId="0" applyNumberFormat="1" applyFill="1" applyBorder="1"/>
    <xf numFmtId="0" fontId="11" fillId="0" borderId="6" xfId="0" applyFont="1" applyBorder="1"/>
    <xf numFmtId="0" fontId="11" fillId="0" borderId="7" xfId="0" applyFont="1" applyBorder="1"/>
    <xf numFmtId="0" fontId="11" fillId="16" borderId="2" xfId="0" applyFont="1" applyFill="1" applyBorder="1"/>
    <xf numFmtId="43" fontId="11" fillId="16" borderId="2" xfId="1" applyFont="1" applyFill="1" applyBorder="1"/>
    <xf numFmtId="0" fontId="11" fillId="0" borderId="2" xfId="0" applyFont="1" applyBorder="1"/>
    <xf numFmtId="0" fontId="11" fillId="17" borderId="2" xfId="0" applyFont="1" applyFill="1" applyBorder="1"/>
    <xf numFmtId="0" fontId="11" fillId="0" borderId="8" xfId="0" applyFont="1" applyBorder="1"/>
    <xf numFmtId="0" fontId="0" fillId="0" borderId="8" xfId="0" applyBorder="1"/>
    <xf numFmtId="43" fontId="0" fillId="16" borderId="10" xfId="1" applyFont="1" applyFill="1" applyBorder="1"/>
    <xf numFmtId="0" fontId="0" fillId="0" borderId="11" xfId="0" applyBorder="1"/>
    <xf numFmtId="0" fontId="0" fillId="0" borderId="9" xfId="0" applyFill="1" applyBorder="1"/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</cellXfs>
  <cellStyles count="8">
    <cellStyle name="Comma" xfId="1" builtinId="3"/>
    <cellStyle name="Comma 2" xfId="3"/>
    <cellStyle name="Comma 2 2 2 2 2 2 2 2 2 2" xfId="7"/>
    <cellStyle name="Comma 2 2 8" xfId="4"/>
    <cellStyle name="Comma 2 8" xfId="5"/>
    <cellStyle name="Comma 3" xfId="6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8"/>
  <sheetViews>
    <sheetView workbookViewId="0">
      <pane ySplit="5" topLeftCell="A104" activePane="bottomLeft" state="frozen"/>
      <selection pane="bottomLeft" activeCell="A109" sqref="A109:XFD111"/>
    </sheetView>
  </sheetViews>
  <sheetFormatPr defaultRowHeight="15"/>
  <cols>
    <col min="1" max="1" width="35.42578125" customWidth="1"/>
    <col min="2" max="2" width="8.28515625" customWidth="1"/>
    <col min="3" max="3" width="6.140625" customWidth="1"/>
    <col min="4" max="4" width="13.5703125" bestFit="1" customWidth="1"/>
    <col min="5" max="5" width="6" customWidth="1"/>
    <col min="6" max="6" width="15.7109375" bestFit="1" customWidth="1"/>
    <col min="7" max="7" width="12.140625" bestFit="1" customWidth="1"/>
    <col min="8" max="8" width="14.42578125" customWidth="1"/>
    <col min="9" max="9" width="14.5703125" bestFit="1" customWidth="1"/>
    <col min="10" max="10" width="14.5703125" customWidth="1"/>
    <col min="11" max="11" width="14.5703125" bestFit="1" customWidth="1"/>
    <col min="12" max="12" width="15.5703125" customWidth="1"/>
    <col min="13" max="13" width="12.7109375" customWidth="1"/>
    <col min="14" max="14" width="11.5703125" bestFit="1" customWidth="1"/>
  </cols>
  <sheetData>
    <row r="1" spans="1:13">
      <c r="E1" s="1"/>
      <c r="F1" s="1"/>
      <c r="G1" s="1"/>
      <c r="H1" s="1"/>
      <c r="I1" s="1"/>
      <c r="J1" s="1"/>
      <c r="K1" s="1"/>
      <c r="L1" s="1"/>
    </row>
    <row r="2" spans="1:13">
      <c r="E2" s="1"/>
      <c r="F2" s="1"/>
      <c r="G2" s="1"/>
      <c r="H2" s="1"/>
      <c r="I2" s="1"/>
      <c r="J2" s="1"/>
      <c r="K2" s="1"/>
      <c r="L2" s="1"/>
    </row>
    <row r="3" spans="1:13" ht="18.75">
      <c r="A3" s="207" t="s">
        <v>84</v>
      </c>
      <c r="B3" s="208"/>
      <c r="C3" s="208"/>
      <c r="D3" s="209"/>
      <c r="E3" s="209"/>
      <c r="F3" s="209"/>
      <c r="G3" s="63"/>
      <c r="H3" s="63"/>
      <c r="I3" s="64"/>
      <c r="J3" s="64"/>
      <c r="K3" s="64"/>
      <c r="L3" s="64"/>
      <c r="M3" s="65"/>
    </row>
    <row r="4" spans="1:13" ht="16.5">
      <c r="A4" s="66"/>
      <c r="B4" s="67"/>
      <c r="C4" s="67"/>
      <c r="D4" s="67"/>
      <c r="E4" s="67"/>
      <c r="F4" s="68"/>
      <c r="G4" s="68"/>
      <c r="H4" s="68"/>
      <c r="I4" s="69"/>
      <c r="J4" s="69"/>
      <c r="K4" s="69"/>
      <c r="L4" s="69"/>
      <c r="M4" s="70"/>
    </row>
    <row r="5" spans="1:13" ht="16.5">
      <c r="A5" s="71" t="s">
        <v>0</v>
      </c>
      <c r="B5" s="71" t="s">
        <v>1</v>
      </c>
      <c r="C5" s="71" t="s">
        <v>45</v>
      </c>
      <c r="D5" s="71" t="s">
        <v>130</v>
      </c>
      <c r="E5" s="71" t="s">
        <v>44</v>
      </c>
      <c r="F5" s="72" t="s">
        <v>129</v>
      </c>
      <c r="G5" s="72" t="s">
        <v>128</v>
      </c>
      <c r="H5" s="72" t="s">
        <v>2</v>
      </c>
      <c r="I5" s="72" t="s">
        <v>3</v>
      </c>
      <c r="J5" s="72" t="s">
        <v>4</v>
      </c>
      <c r="K5" s="72" t="s">
        <v>5</v>
      </c>
      <c r="L5" s="72" t="s">
        <v>6</v>
      </c>
      <c r="M5" s="73" t="s">
        <v>7</v>
      </c>
    </row>
    <row r="6" spans="1:13" ht="16.5">
      <c r="A6" s="74" t="s">
        <v>136</v>
      </c>
      <c r="B6" s="74"/>
      <c r="C6" s="74"/>
      <c r="D6" s="75"/>
      <c r="E6" s="75"/>
      <c r="F6" s="76"/>
      <c r="G6" s="76"/>
      <c r="H6" s="76"/>
      <c r="I6" s="76"/>
      <c r="J6" s="76"/>
      <c r="K6" s="76"/>
      <c r="L6" s="76"/>
      <c r="M6" s="75"/>
    </row>
    <row r="7" spans="1:13" s="3" customFormat="1" ht="16.5">
      <c r="A7" s="77" t="s">
        <v>64</v>
      </c>
      <c r="B7" s="77" t="s">
        <v>9</v>
      </c>
      <c r="C7" s="78">
        <v>1</v>
      </c>
      <c r="D7" s="79">
        <v>900000</v>
      </c>
      <c r="E7" s="77">
        <v>12</v>
      </c>
      <c r="F7" s="80">
        <f t="shared" ref="F7:F17" si="0">C7*D7*6</f>
        <v>5400000</v>
      </c>
      <c r="G7" s="80">
        <f>F7/750</f>
        <v>7200</v>
      </c>
      <c r="H7" s="80">
        <f t="shared" ref="H7:H17" si="1">C7*D7*12</f>
        <v>10800000</v>
      </c>
      <c r="I7" s="80">
        <f t="shared" ref="I7:K17" si="2">H7*110%</f>
        <v>11880000.000000002</v>
      </c>
      <c r="J7" s="80">
        <f t="shared" si="2"/>
        <v>13068000.000000004</v>
      </c>
      <c r="K7" s="80">
        <f t="shared" si="2"/>
        <v>14374800.000000006</v>
      </c>
      <c r="L7" s="79">
        <f>F7+H7+I7+J7+K7</f>
        <v>55522800.000000007</v>
      </c>
      <c r="M7" s="81">
        <f>L7/750</f>
        <v>74030.400000000009</v>
      </c>
    </row>
    <row r="8" spans="1:13" ht="16.5">
      <c r="A8" s="77" t="s">
        <v>80</v>
      </c>
      <c r="B8" s="77" t="s">
        <v>9</v>
      </c>
      <c r="C8" s="77">
        <v>1</v>
      </c>
      <c r="D8" s="79">
        <v>300000</v>
      </c>
      <c r="E8" s="67">
        <v>12</v>
      </c>
      <c r="F8" s="80">
        <f t="shared" si="0"/>
        <v>1800000</v>
      </c>
      <c r="G8" s="80">
        <f t="shared" ref="G8:G18" si="3">F8/750</f>
        <v>2400</v>
      </c>
      <c r="H8" s="80">
        <f t="shared" si="1"/>
        <v>3600000</v>
      </c>
      <c r="I8" s="80">
        <f t="shared" ref="I8" si="4">H8*110%</f>
        <v>3960000.0000000005</v>
      </c>
      <c r="J8" s="80">
        <f t="shared" ref="J8" si="5">I8*110%</f>
        <v>4356000.0000000009</v>
      </c>
      <c r="K8" s="80">
        <f t="shared" ref="K8" si="6">J8*110%</f>
        <v>4791600.0000000019</v>
      </c>
      <c r="L8" s="79">
        <f t="shared" ref="L8" si="7">F8+H8+I8+J8+K8</f>
        <v>18507600</v>
      </c>
      <c r="M8" s="81">
        <f t="shared" ref="M8:M18" si="8">L8/750</f>
        <v>24676.799999999999</v>
      </c>
    </row>
    <row r="9" spans="1:13" ht="16.5">
      <c r="A9" s="77" t="s">
        <v>85</v>
      </c>
      <c r="B9" s="77" t="s">
        <v>9</v>
      </c>
      <c r="C9" s="77">
        <v>1</v>
      </c>
      <c r="D9" s="79">
        <v>300000</v>
      </c>
      <c r="E9" s="67">
        <v>12</v>
      </c>
      <c r="F9" s="80">
        <f t="shared" si="0"/>
        <v>1800000</v>
      </c>
      <c r="G9" s="80">
        <f t="shared" si="3"/>
        <v>2400</v>
      </c>
      <c r="H9" s="80">
        <f t="shared" si="1"/>
        <v>3600000</v>
      </c>
      <c r="I9" s="80">
        <f t="shared" si="2"/>
        <v>3960000.0000000005</v>
      </c>
      <c r="J9" s="80">
        <f t="shared" si="2"/>
        <v>4356000.0000000009</v>
      </c>
      <c r="K9" s="80">
        <f t="shared" si="2"/>
        <v>4791600.0000000019</v>
      </c>
      <c r="L9" s="79">
        <f t="shared" ref="L9:L46" si="9">F9+H9+I9+J9+K9</f>
        <v>18507600</v>
      </c>
      <c r="M9" s="81">
        <f t="shared" si="8"/>
        <v>24676.799999999999</v>
      </c>
    </row>
    <row r="10" spans="1:13" ht="16.5">
      <c r="A10" s="67" t="s">
        <v>86</v>
      </c>
      <c r="B10" s="67" t="s">
        <v>9</v>
      </c>
      <c r="C10" s="67">
        <v>1</v>
      </c>
      <c r="D10" s="80">
        <v>300000</v>
      </c>
      <c r="E10" s="67">
        <v>12</v>
      </c>
      <c r="F10" s="80">
        <f t="shared" si="0"/>
        <v>1800000</v>
      </c>
      <c r="G10" s="80">
        <f t="shared" si="3"/>
        <v>2400</v>
      </c>
      <c r="H10" s="80">
        <f t="shared" si="1"/>
        <v>3600000</v>
      </c>
      <c r="I10" s="80">
        <f t="shared" ref="I10:I13" si="10">H10*110%</f>
        <v>3960000.0000000005</v>
      </c>
      <c r="J10" s="80">
        <f t="shared" ref="J10:J13" si="11">I10*110%</f>
        <v>4356000.0000000009</v>
      </c>
      <c r="K10" s="80">
        <f t="shared" ref="K10:K13" si="12">J10*110%</f>
        <v>4791600.0000000019</v>
      </c>
      <c r="L10" s="79">
        <f t="shared" ref="L10:L13" si="13">F10+H10+I10+J10+K10</f>
        <v>18507600</v>
      </c>
      <c r="M10" s="81">
        <f t="shared" si="8"/>
        <v>24676.799999999999</v>
      </c>
    </row>
    <row r="11" spans="1:13" ht="16.5">
      <c r="A11" s="67" t="s">
        <v>87</v>
      </c>
      <c r="B11" s="67" t="s">
        <v>11</v>
      </c>
      <c r="C11" s="67">
        <v>6</v>
      </c>
      <c r="D11" s="80">
        <v>200000</v>
      </c>
      <c r="E11" s="67">
        <v>12</v>
      </c>
      <c r="F11" s="80">
        <f t="shared" si="0"/>
        <v>7200000</v>
      </c>
      <c r="G11" s="80">
        <f t="shared" si="3"/>
        <v>9600</v>
      </c>
      <c r="H11" s="80">
        <f t="shared" si="1"/>
        <v>14400000</v>
      </c>
      <c r="I11" s="80">
        <f t="shared" si="10"/>
        <v>15840000.000000002</v>
      </c>
      <c r="J11" s="80">
        <f t="shared" si="11"/>
        <v>17424000.000000004</v>
      </c>
      <c r="K11" s="80">
        <f t="shared" si="12"/>
        <v>19166400.000000007</v>
      </c>
      <c r="L11" s="79">
        <f t="shared" si="13"/>
        <v>74030400</v>
      </c>
      <c r="M11" s="81">
        <f t="shared" si="8"/>
        <v>98707.199999999997</v>
      </c>
    </row>
    <row r="12" spans="1:13" ht="16.5">
      <c r="A12" s="67" t="s">
        <v>88</v>
      </c>
      <c r="B12" s="67" t="s">
        <v>11</v>
      </c>
      <c r="C12" s="67">
        <v>15</v>
      </c>
      <c r="D12" s="80">
        <v>60000</v>
      </c>
      <c r="E12" s="67">
        <v>12</v>
      </c>
      <c r="F12" s="80">
        <f t="shared" si="0"/>
        <v>5400000</v>
      </c>
      <c r="G12" s="80">
        <f t="shared" si="3"/>
        <v>7200</v>
      </c>
      <c r="H12" s="80">
        <f t="shared" si="1"/>
        <v>10800000</v>
      </c>
      <c r="I12" s="80">
        <f t="shared" si="10"/>
        <v>11880000.000000002</v>
      </c>
      <c r="J12" s="80">
        <f t="shared" si="11"/>
        <v>13068000.000000004</v>
      </c>
      <c r="K12" s="80">
        <f t="shared" si="12"/>
        <v>14374800.000000006</v>
      </c>
      <c r="L12" s="79">
        <f t="shared" si="13"/>
        <v>55522800.000000007</v>
      </c>
      <c r="M12" s="81">
        <f t="shared" si="8"/>
        <v>74030.400000000009</v>
      </c>
    </row>
    <row r="13" spans="1:13" ht="16.5">
      <c r="A13" s="67" t="s">
        <v>10</v>
      </c>
      <c r="B13" s="67" t="s">
        <v>11</v>
      </c>
      <c r="C13" s="67">
        <v>1</v>
      </c>
      <c r="D13" s="80">
        <v>300000</v>
      </c>
      <c r="E13" s="67">
        <v>12</v>
      </c>
      <c r="F13" s="80">
        <f t="shared" si="0"/>
        <v>1800000</v>
      </c>
      <c r="G13" s="80">
        <f t="shared" si="3"/>
        <v>2400</v>
      </c>
      <c r="H13" s="80">
        <f t="shared" si="1"/>
        <v>3600000</v>
      </c>
      <c r="I13" s="80">
        <f t="shared" si="10"/>
        <v>3960000.0000000005</v>
      </c>
      <c r="J13" s="80">
        <f t="shared" si="11"/>
        <v>4356000.0000000009</v>
      </c>
      <c r="K13" s="80">
        <f t="shared" si="12"/>
        <v>4791600.0000000019</v>
      </c>
      <c r="L13" s="79">
        <f t="shared" si="13"/>
        <v>18507600</v>
      </c>
      <c r="M13" s="81">
        <f t="shared" si="8"/>
        <v>24676.799999999999</v>
      </c>
    </row>
    <row r="14" spans="1:13" ht="16.5">
      <c r="A14" s="67" t="s">
        <v>82</v>
      </c>
      <c r="B14" s="67" t="s">
        <v>9</v>
      </c>
      <c r="C14" s="67">
        <v>2</v>
      </c>
      <c r="D14" s="80">
        <v>200000</v>
      </c>
      <c r="E14" s="67">
        <v>12</v>
      </c>
      <c r="F14" s="80">
        <f t="shared" si="0"/>
        <v>2400000</v>
      </c>
      <c r="G14" s="80">
        <f t="shared" si="3"/>
        <v>3200</v>
      </c>
      <c r="H14" s="80">
        <f t="shared" si="1"/>
        <v>4800000</v>
      </c>
      <c r="I14" s="80">
        <f>H14*110%</f>
        <v>5280000</v>
      </c>
      <c r="J14" s="80">
        <f t="shared" si="2"/>
        <v>5808000.0000000009</v>
      </c>
      <c r="K14" s="80">
        <f t="shared" si="2"/>
        <v>6388800.0000000019</v>
      </c>
      <c r="L14" s="79">
        <f t="shared" si="9"/>
        <v>24676800</v>
      </c>
      <c r="M14" s="81">
        <f t="shared" si="8"/>
        <v>32902.400000000001</v>
      </c>
    </row>
    <row r="15" spans="1:13" ht="16.5">
      <c r="A15" s="67" t="s">
        <v>12</v>
      </c>
      <c r="B15" s="67" t="s">
        <v>11</v>
      </c>
      <c r="C15" s="67">
        <v>3</v>
      </c>
      <c r="D15" s="80">
        <v>150000</v>
      </c>
      <c r="E15" s="67">
        <v>12</v>
      </c>
      <c r="F15" s="80">
        <f t="shared" si="0"/>
        <v>2700000</v>
      </c>
      <c r="G15" s="80">
        <f t="shared" si="3"/>
        <v>3600</v>
      </c>
      <c r="H15" s="80">
        <f t="shared" si="1"/>
        <v>5400000</v>
      </c>
      <c r="I15" s="80">
        <f t="shared" si="2"/>
        <v>5940000.0000000009</v>
      </c>
      <c r="J15" s="80">
        <f t="shared" si="2"/>
        <v>6534000.0000000019</v>
      </c>
      <c r="K15" s="80">
        <f t="shared" si="2"/>
        <v>7187400.0000000028</v>
      </c>
      <c r="L15" s="79">
        <f t="shared" si="9"/>
        <v>27761400.000000004</v>
      </c>
      <c r="M15" s="81">
        <f t="shared" si="8"/>
        <v>37015.200000000004</v>
      </c>
    </row>
    <row r="16" spans="1:13" ht="16.5">
      <c r="A16" s="67" t="s">
        <v>13</v>
      </c>
      <c r="B16" s="67" t="s">
        <v>11</v>
      </c>
      <c r="C16" s="67">
        <v>4</v>
      </c>
      <c r="D16" s="80">
        <v>90000</v>
      </c>
      <c r="E16" s="67">
        <v>12</v>
      </c>
      <c r="F16" s="80">
        <f t="shared" si="0"/>
        <v>2160000</v>
      </c>
      <c r="G16" s="80">
        <f t="shared" si="3"/>
        <v>2880</v>
      </c>
      <c r="H16" s="80">
        <f t="shared" si="1"/>
        <v>4320000</v>
      </c>
      <c r="I16" s="80">
        <f t="shared" si="2"/>
        <v>4752000</v>
      </c>
      <c r="J16" s="80">
        <f t="shared" si="2"/>
        <v>5227200</v>
      </c>
      <c r="K16" s="80">
        <f t="shared" si="2"/>
        <v>5749920</v>
      </c>
      <c r="L16" s="79">
        <f t="shared" si="9"/>
        <v>22209120</v>
      </c>
      <c r="M16" s="81">
        <f t="shared" si="8"/>
        <v>29612.16</v>
      </c>
    </row>
    <row r="17" spans="1:17" ht="16.5">
      <c r="A17" s="67" t="s">
        <v>14</v>
      </c>
      <c r="B17" s="82" t="s">
        <v>11</v>
      </c>
      <c r="C17" s="67">
        <v>4</v>
      </c>
      <c r="D17" s="83">
        <v>60000</v>
      </c>
      <c r="E17" s="67">
        <v>12</v>
      </c>
      <c r="F17" s="80">
        <f t="shared" si="0"/>
        <v>1440000</v>
      </c>
      <c r="G17" s="80">
        <f t="shared" si="3"/>
        <v>1920</v>
      </c>
      <c r="H17" s="80">
        <f t="shared" si="1"/>
        <v>2880000</v>
      </c>
      <c r="I17" s="80">
        <f t="shared" si="2"/>
        <v>3168000.0000000005</v>
      </c>
      <c r="J17" s="80">
        <f t="shared" si="2"/>
        <v>3484800.0000000009</v>
      </c>
      <c r="K17" s="80">
        <f t="shared" si="2"/>
        <v>3833280.0000000014</v>
      </c>
      <c r="L17" s="79">
        <f t="shared" si="9"/>
        <v>14806080.000000002</v>
      </c>
      <c r="M17" s="81">
        <f t="shared" si="8"/>
        <v>19741.440000000002</v>
      </c>
    </row>
    <row r="18" spans="1:17" s="59" customFormat="1" ht="16.5">
      <c r="A18" s="84" t="s">
        <v>15</v>
      </c>
      <c r="B18" s="85"/>
      <c r="C18" s="74"/>
      <c r="D18" s="86"/>
      <c r="E18" s="74"/>
      <c r="F18" s="87">
        <f>SUM(F7:F17)</f>
        <v>33900000</v>
      </c>
      <c r="G18" s="87">
        <f t="shared" si="3"/>
        <v>45200</v>
      </c>
      <c r="H18" s="87">
        <f t="shared" ref="H18:K18" si="14">SUM(H9:H17)</f>
        <v>53400000</v>
      </c>
      <c r="I18" s="87">
        <f t="shared" si="14"/>
        <v>58740000.000000007</v>
      </c>
      <c r="J18" s="87">
        <f t="shared" si="14"/>
        <v>64614000.000000015</v>
      </c>
      <c r="K18" s="87">
        <f t="shared" si="14"/>
        <v>71075400.000000015</v>
      </c>
      <c r="L18" s="87">
        <f t="shared" si="9"/>
        <v>281729400</v>
      </c>
      <c r="M18" s="88">
        <f t="shared" si="8"/>
        <v>375639.2</v>
      </c>
      <c r="N18" s="60"/>
      <c r="O18" s="60"/>
      <c r="P18" s="60"/>
      <c r="Q18" s="60"/>
    </row>
    <row r="19" spans="1:17" s="60" customFormat="1" ht="16.5">
      <c r="A19" s="89"/>
      <c r="B19" s="90"/>
      <c r="C19" s="78"/>
      <c r="D19" s="91"/>
      <c r="E19" s="78"/>
      <c r="F19" s="92"/>
      <c r="G19" s="92"/>
      <c r="H19" s="92"/>
      <c r="I19" s="92"/>
      <c r="J19" s="92"/>
      <c r="K19" s="92"/>
      <c r="L19" s="92"/>
      <c r="M19" s="81"/>
    </row>
    <row r="20" spans="1:17" s="58" customFormat="1" ht="16.5">
      <c r="A20" s="84" t="s">
        <v>89</v>
      </c>
      <c r="B20" s="84"/>
      <c r="C20" s="84"/>
      <c r="D20" s="93"/>
      <c r="E20" s="84"/>
      <c r="F20" s="93"/>
      <c r="G20" s="93"/>
      <c r="H20" s="93"/>
      <c r="I20" s="93"/>
      <c r="J20" s="93"/>
      <c r="K20" s="93"/>
      <c r="L20" s="87"/>
      <c r="M20" s="94"/>
      <c r="N20" s="3"/>
      <c r="O20" s="3"/>
      <c r="P20" s="3"/>
      <c r="Q20" s="3"/>
    </row>
    <row r="21" spans="1:17" s="58" customFormat="1" ht="16.5">
      <c r="A21" s="84" t="s">
        <v>90</v>
      </c>
      <c r="B21" s="84"/>
      <c r="C21" s="84"/>
      <c r="D21" s="93"/>
      <c r="E21" s="84"/>
      <c r="F21" s="93"/>
      <c r="G21" s="93"/>
      <c r="H21" s="93"/>
      <c r="I21" s="93"/>
      <c r="J21" s="93"/>
      <c r="K21" s="93"/>
      <c r="L21" s="87"/>
      <c r="M21" s="94"/>
      <c r="N21" s="3"/>
      <c r="O21" s="3"/>
      <c r="P21" s="3"/>
      <c r="Q21" s="3"/>
    </row>
    <row r="22" spans="1:17" s="3" customFormat="1" ht="16.5">
      <c r="A22" s="95" t="s">
        <v>91</v>
      </c>
      <c r="B22" s="95" t="s">
        <v>20</v>
      </c>
      <c r="C22" s="95">
        <v>3</v>
      </c>
      <c r="D22" s="96">
        <v>1147500</v>
      </c>
      <c r="E22" s="95">
        <v>1</v>
      </c>
      <c r="F22" s="96">
        <f t="shared" ref="F22:F34" si="15">C22*D22</f>
        <v>3442500</v>
      </c>
      <c r="G22" s="79">
        <f t="shared" ref="G22:G35" si="16">F22/750</f>
        <v>4590</v>
      </c>
      <c r="H22" s="96">
        <v>0</v>
      </c>
      <c r="I22" s="96">
        <v>0</v>
      </c>
      <c r="J22" s="96">
        <v>0</v>
      </c>
      <c r="K22" s="96">
        <v>0</v>
      </c>
      <c r="L22" s="79">
        <f t="shared" si="9"/>
        <v>3442500</v>
      </c>
      <c r="M22" s="97">
        <f>L18/750</f>
        <v>375639.2</v>
      </c>
    </row>
    <row r="23" spans="1:17" s="3" customFormat="1" ht="16.5">
      <c r="A23" s="95" t="s">
        <v>92</v>
      </c>
      <c r="B23" s="95" t="s">
        <v>20</v>
      </c>
      <c r="C23" s="95">
        <v>3</v>
      </c>
      <c r="D23" s="96">
        <v>889500</v>
      </c>
      <c r="E23" s="95">
        <v>1</v>
      </c>
      <c r="F23" s="96">
        <f t="shared" si="15"/>
        <v>2668500</v>
      </c>
      <c r="G23" s="79">
        <f t="shared" si="16"/>
        <v>3558</v>
      </c>
      <c r="H23" s="96">
        <v>0</v>
      </c>
      <c r="I23" s="96">
        <v>0</v>
      </c>
      <c r="J23" s="96">
        <v>0</v>
      </c>
      <c r="K23" s="96">
        <v>0</v>
      </c>
      <c r="L23" s="79">
        <f t="shared" si="9"/>
        <v>2668500</v>
      </c>
      <c r="M23" s="97">
        <f t="shared" ref="M23:M35" si="17">L23/750</f>
        <v>3558</v>
      </c>
    </row>
    <row r="24" spans="1:17" s="3" customFormat="1" ht="16.5">
      <c r="A24" s="95" t="s">
        <v>93</v>
      </c>
      <c r="B24" s="95" t="s">
        <v>20</v>
      </c>
      <c r="C24" s="95">
        <v>3</v>
      </c>
      <c r="D24" s="96">
        <v>585000</v>
      </c>
      <c r="E24" s="95">
        <v>1</v>
      </c>
      <c r="F24" s="96">
        <f t="shared" si="15"/>
        <v>1755000</v>
      </c>
      <c r="G24" s="79">
        <f t="shared" si="16"/>
        <v>2340</v>
      </c>
      <c r="H24" s="96">
        <v>0</v>
      </c>
      <c r="I24" s="96">
        <v>0</v>
      </c>
      <c r="J24" s="96">
        <v>0</v>
      </c>
      <c r="K24" s="96">
        <v>0</v>
      </c>
      <c r="L24" s="79">
        <f t="shared" si="9"/>
        <v>1755000</v>
      </c>
      <c r="M24" s="97">
        <f t="shared" si="17"/>
        <v>2340</v>
      </c>
    </row>
    <row r="25" spans="1:17" s="3" customFormat="1" ht="16.5">
      <c r="A25" s="95" t="s">
        <v>95</v>
      </c>
      <c r="B25" s="95" t="s">
        <v>20</v>
      </c>
      <c r="C25" s="95">
        <v>3</v>
      </c>
      <c r="D25" s="96">
        <v>24193500</v>
      </c>
      <c r="E25" s="95">
        <v>1</v>
      </c>
      <c r="F25" s="96">
        <f t="shared" si="15"/>
        <v>72580500</v>
      </c>
      <c r="G25" s="79">
        <f t="shared" si="16"/>
        <v>96774</v>
      </c>
      <c r="H25" s="96">
        <v>0</v>
      </c>
      <c r="I25" s="96">
        <v>0</v>
      </c>
      <c r="J25" s="96">
        <v>0</v>
      </c>
      <c r="K25" s="96">
        <v>0</v>
      </c>
      <c r="L25" s="79">
        <f t="shared" si="9"/>
        <v>72580500</v>
      </c>
      <c r="M25" s="97">
        <f t="shared" si="17"/>
        <v>96774</v>
      </c>
    </row>
    <row r="26" spans="1:17" s="3" customFormat="1" ht="16.5">
      <c r="A26" s="95" t="s">
        <v>94</v>
      </c>
      <c r="B26" s="95" t="s">
        <v>20</v>
      </c>
      <c r="C26" s="95">
        <v>3</v>
      </c>
      <c r="D26" s="96">
        <v>900000</v>
      </c>
      <c r="E26" s="95">
        <v>1</v>
      </c>
      <c r="F26" s="96">
        <f t="shared" si="15"/>
        <v>2700000</v>
      </c>
      <c r="G26" s="79">
        <f t="shared" si="16"/>
        <v>3600</v>
      </c>
      <c r="H26" s="96">
        <v>0</v>
      </c>
      <c r="I26" s="96">
        <v>0</v>
      </c>
      <c r="J26" s="96">
        <v>0</v>
      </c>
      <c r="K26" s="96">
        <v>0</v>
      </c>
      <c r="L26" s="79">
        <f t="shared" si="9"/>
        <v>2700000</v>
      </c>
      <c r="M26" s="97">
        <f t="shared" si="17"/>
        <v>3600</v>
      </c>
    </row>
    <row r="27" spans="1:17" s="3" customFormat="1" ht="16.5">
      <c r="A27" s="95" t="s">
        <v>96</v>
      </c>
      <c r="B27" s="95" t="s">
        <v>20</v>
      </c>
      <c r="C27" s="95">
        <v>3</v>
      </c>
      <c r="D27" s="96">
        <v>3075000</v>
      </c>
      <c r="E27" s="95">
        <v>1</v>
      </c>
      <c r="F27" s="96">
        <f t="shared" si="15"/>
        <v>9225000</v>
      </c>
      <c r="G27" s="79">
        <f t="shared" si="16"/>
        <v>12300</v>
      </c>
      <c r="H27" s="96">
        <v>0</v>
      </c>
      <c r="I27" s="96">
        <v>0</v>
      </c>
      <c r="J27" s="96">
        <v>0</v>
      </c>
      <c r="K27" s="96">
        <v>0</v>
      </c>
      <c r="L27" s="79">
        <f t="shared" si="9"/>
        <v>9225000</v>
      </c>
      <c r="M27" s="97">
        <f t="shared" si="17"/>
        <v>12300</v>
      </c>
    </row>
    <row r="28" spans="1:17" s="3" customFormat="1" ht="16.5">
      <c r="A28" s="95" t="s">
        <v>97</v>
      </c>
      <c r="B28" s="95" t="s">
        <v>20</v>
      </c>
      <c r="C28" s="95">
        <v>2</v>
      </c>
      <c r="D28" s="96">
        <v>6900000</v>
      </c>
      <c r="E28" s="95">
        <v>1</v>
      </c>
      <c r="F28" s="96">
        <f t="shared" si="15"/>
        <v>13800000</v>
      </c>
      <c r="G28" s="79">
        <f t="shared" si="16"/>
        <v>18400</v>
      </c>
      <c r="H28" s="96">
        <v>0</v>
      </c>
      <c r="I28" s="96">
        <v>0</v>
      </c>
      <c r="J28" s="96">
        <v>0</v>
      </c>
      <c r="K28" s="96">
        <v>0</v>
      </c>
      <c r="L28" s="79">
        <f t="shared" si="9"/>
        <v>13800000</v>
      </c>
      <c r="M28" s="97">
        <f t="shared" si="17"/>
        <v>18400</v>
      </c>
    </row>
    <row r="29" spans="1:17" s="3" customFormat="1" ht="16.5">
      <c r="A29" s="95" t="s">
        <v>98</v>
      </c>
      <c r="B29" s="95" t="s">
        <v>20</v>
      </c>
      <c r="C29" s="95">
        <v>3</v>
      </c>
      <c r="D29" s="96">
        <v>29149500</v>
      </c>
      <c r="E29" s="95">
        <v>1</v>
      </c>
      <c r="F29" s="96">
        <f t="shared" si="15"/>
        <v>87448500</v>
      </c>
      <c r="G29" s="79">
        <f t="shared" si="16"/>
        <v>116598</v>
      </c>
      <c r="H29" s="96">
        <v>0</v>
      </c>
      <c r="I29" s="96">
        <v>0</v>
      </c>
      <c r="J29" s="96">
        <v>0</v>
      </c>
      <c r="K29" s="96">
        <v>0</v>
      </c>
      <c r="L29" s="79">
        <f t="shared" si="9"/>
        <v>87448500</v>
      </c>
      <c r="M29" s="97">
        <f t="shared" si="17"/>
        <v>116598</v>
      </c>
    </row>
    <row r="30" spans="1:17" s="3" customFormat="1" ht="16.5">
      <c r="A30" s="95" t="s">
        <v>99</v>
      </c>
      <c r="B30" s="95" t="s">
        <v>102</v>
      </c>
      <c r="C30" s="95">
        <v>3</v>
      </c>
      <c r="D30" s="96">
        <v>14250000</v>
      </c>
      <c r="E30" s="95">
        <v>1</v>
      </c>
      <c r="F30" s="96">
        <f t="shared" si="15"/>
        <v>42750000</v>
      </c>
      <c r="G30" s="79">
        <f t="shared" si="16"/>
        <v>57000</v>
      </c>
      <c r="H30" s="96">
        <v>0</v>
      </c>
      <c r="I30" s="96">
        <v>0</v>
      </c>
      <c r="J30" s="96">
        <v>0</v>
      </c>
      <c r="K30" s="96">
        <v>0</v>
      </c>
      <c r="L30" s="79">
        <f t="shared" si="9"/>
        <v>42750000</v>
      </c>
      <c r="M30" s="97">
        <f t="shared" si="17"/>
        <v>57000</v>
      </c>
    </row>
    <row r="31" spans="1:17" s="3" customFormat="1" ht="16.5">
      <c r="A31" s="95" t="s">
        <v>100</v>
      </c>
      <c r="B31" s="95" t="s">
        <v>102</v>
      </c>
      <c r="C31" s="95">
        <v>2</v>
      </c>
      <c r="D31" s="96">
        <v>1575000</v>
      </c>
      <c r="E31" s="95">
        <v>1</v>
      </c>
      <c r="F31" s="96">
        <f t="shared" si="15"/>
        <v>3150000</v>
      </c>
      <c r="G31" s="79">
        <f t="shared" si="16"/>
        <v>4200</v>
      </c>
      <c r="H31" s="96">
        <v>0</v>
      </c>
      <c r="I31" s="96">
        <v>0</v>
      </c>
      <c r="J31" s="96">
        <v>0</v>
      </c>
      <c r="K31" s="96">
        <v>0</v>
      </c>
      <c r="L31" s="79">
        <f t="shared" si="9"/>
        <v>3150000</v>
      </c>
      <c r="M31" s="97">
        <f t="shared" si="17"/>
        <v>4200</v>
      </c>
    </row>
    <row r="32" spans="1:17" s="3" customFormat="1" ht="16.5">
      <c r="A32" s="95" t="s">
        <v>101</v>
      </c>
      <c r="B32" s="95" t="s">
        <v>102</v>
      </c>
      <c r="C32" s="95">
        <v>3</v>
      </c>
      <c r="D32" s="96">
        <v>18000000</v>
      </c>
      <c r="E32" s="95">
        <v>1</v>
      </c>
      <c r="F32" s="96">
        <f t="shared" si="15"/>
        <v>54000000</v>
      </c>
      <c r="G32" s="79">
        <f t="shared" si="16"/>
        <v>72000</v>
      </c>
      <c r="H32" s="96">
        <v>0</v>
      </c>
      <c r="I32" s="96">
        <v>0</v>
      </c>
      <c r="J32" s="96">
        <v>0</v>
      </c>
      <c r="K32" s="96">
        <v>0</v>
      </c>
      <c r="L32" s="79">
        <f t="shared" si="9"/>
        <v>54000000</v>
      </c>
      <c r="M32" s="97">
        <f t="shared" si="17"/>
        <v>72000</v>
      </c>
    </row>
    <row r="33" spans="1:17" s="3" customFormat="1" ht="16.5">
      <c r="A33" s="95" t="s">
        <v>103</v>
      </c>
      <c r="B33" s="95" t="s">
        <v>102</v>
      </c>
      <c r="C33" s="95">
        <v>2</v>
      </c>
      <c r="D33" s="96">
        <v>3000000</v>
      </c>
      <c r="E33" s="95">
        <v>1</v>
      </c>
      <c r="F33" s="96">
        <f t="shared" si="15"/>
        <v>6000000</v>
      </c>
      <c r="G33" s="79">
        <f t="shared" si="16"/>
        <v>8000</v>
      </c>
      <c r="H33" s="96">
        <v>0</v>
      </c>
      <c r="I33" s="96">
        <v>0</v>
      </c>
      <c r="J33" s="96">
        <v>0</v>
      </c>
      <c r="K33" s="96">
        <v>0</v>
      </c>
      <c r="L33" s="79">
        <f t="shared" si="9"/>
        <v>6000000</v>
      </c>
      <c r="M33" s="97">
        <f t="shared" si="17"/>
        <v>8000</v>
      </c>
    </row>
    <row r="34" spans="1:17" s="3" customFormat="1" ht="16.5">
      <c r="A34" s="95" t="s">
        <v>104</v>
      </c>
      <c r="B34" s="95" t="s">
        <v>102</v>
      </c>
      <c r="C34" s="95">
        <v>2</v>
      </c>
      <c r="D34" s="96">
        <v>14250000</v>
      </c>
      <c r="E34" s="95">
        <v>1</v>
      </c>
      <c r="F34" s="96">
        <f t="shared" si="15"/>
        <v>28500000</v>
      </c>
      <c r="G34" s="79">
        <f t="shared" si="16"/>
        <v>38000</v>
      </c>
      <c r="H34" s="96">
        <v>0</v>
      </c>
      <c r="I34" s="96">
        <v>0</v>
      </c>
      <c r="J34" s="96">
        <v>0</v>
      </c>
      <c r="K34" s="96">
        <v>0</v>
      </c>
      <c r="L34" s="79">
        <f t="shared" si="9"/>
        <v>28500000</v>
      </c>
      <c r="M34" s="97">
        <f t="shared" si="17"/>
        <v>38000</v>
      </c>
    </row>
    <row r="35" spans="1:17" s="59" customFormat="1" ht="16.5">
      <c r="A35" s="84" t="s">
        <v>105</v>
      </c>
      <c r="B35" s="84"/>
      <c r="C35" s="84"/>
      <c r="D35" s="93"/>
      <c r="E35" s="84"/>
      <c r="F35" s="93">
        <f>SUM(F22:F34)</f>
        <v>328020000</v>
      </c>
      <c r="G35" s="87">
        <f t="shared" si="16"/>
        <v>437360</v>
      </c>
      <c r="H35" s="93">
        <v>0</v>
      </c>
      <c r="I35" s="93">
        <v>0</v>
      </c>
      <c r="J35" s="93">
        <v>0</v>
      </c>
      <c r="K35" s="93">
        <v>0</v>
      </c>
      <c r="L35" s="87">
        <f t="shared" si="9"/>
        <v>328020000</v>
      </c>
      <c r="M35" s="94">
        <f t="shared" si="17"/>
        <v>437360</v>
      </c>
      <c r="N35" s="60"/>
      <c r="O35" s="60"/>
      <c r="P35" s="60"/>
      <c r="Q35" s="60"/>
    </row>
    <row r="36" spans="1:17" s="60" customFormat="1" ht="16.5">
      <c r="A36" s="89"/>
      <c r="B36" s="89"/>
      <c r="C36" s="89"/>
      <c r="D36" s="98"/>
      <c r="E36" s="89"/>
      <c r="F36" s="98"/>
      <c r="G36" s="98"/>
      <c r="H36" s="98"/>
      <c r="I36" s="98"/>
      <c r="J36" s="98"/>
      <c r="K36" s="98"/>
      <c r="L36" s="92"/>
      <c r="M36" s="97"/>
    </row>
    <row r="37" spans="1:17" s="59" customFormat="1" ht="16.5">
      <c r="A37" s="84" t="s">
        <v>148</v>
      </c>
      <c r="B37" s="84"/>
      <c r="C37" s="84"/>
      <c r="D37" s="93"/>
      <c r="E37" s="84"/>
      <c r="F37" s="93"/>
      <c r="G37" s="93"/>
      <c r="H37" s="93"/>
      <c r="I37" s="93"/>
      <c r="J37" s="93"/>
      <c r="K37" s="93"/>
      <c r="L37" s="87"/>
      <c r="M37" s="94"/>
      <c r="N37" s="60"/>
      <c r="O37" s="60"/>
      <c r="P37" s="60"/>
      <c r="Q37" s="60"/>
    </row>
    <row r="38" spans="1:17" s="61" customFormat="1" ht="16.5">
      <c r="A38" s="95" t="s">
        <v>149</v>
      </c>
      <c r="B38" s="95" t="s">
        <v>20</v>
      </c>
      <c r="C38" s="95">
        <v>1</v>
      </c>
      <c r="D38" s="96">
        <v>39999997.5</v>
      </c>
      <c r="E38" s="95">
        <v>1</v>
      </c>
      <c r="F38" s="96">
        <f>C38*D38</f>
        <v>39999997.5</v>
      </c>
      <c r="G38" s="79">
        <f t="shared" ref="G38" si="18">F38/750</f>
        <v>53333.33</v>
      </c>
      <c r="H38" s="96">
        <v>0</v>
      </c>
      <c r="I38" s="96">
        <v>0</v>
      </c>
      <c r="J38" s="96">
        <v>0</v>
      </c>
      <c r="K38" s="96">
        <v>0</v>
      </c>
      <c r="L38" s="79">
        <f t="shared" si="9"/>
        <v>39999997.5</v>
      </c>
      <c r="M38" s="97">
        <f t="shared" ref="M38" si="19">L38/750</f>
        <v>53333.33</v>
      </c>
    </row>
    <row r="39" spans="1:17" s="61" customFormat="1" ht="16.5">
      <c r="A39" s="95" t="s">
        <v>151</v>
      </c>
      <c r="B39" s="95" t="s">
        <v>20</v>
      </c>
      <c r="C39" s="95">
        <v>1</v>
      </c>
      <c r="D39" s="102">
        <v>70000548</v>
      </c>
      <c r="E39" s="95">
        <v>1</v>
      </c>
      <c r="F39" s="96">
        <f>C39*D39</f>
        <v>70000548</v>
      </c>
      <c r="G39" s="79">
        <f t="shared" ref="G39" si="20">F39/750</f>
        <v>93334.063999999998</v>
      </c>
      <c r="H39" s="96">
        <v>0</v>
      </c>
      <c r="I39" s="96">
        <v>0</v>
      </c>
      <c r="J39" s="96">
        <v>0</v>
      </c>
      <c r="K39" s="96">
        <v>0</v>
      </c>
      <c r="L39" s="79">
        <f t="shared" ref="L39" si="21">F39+H39+I39+J39+K39</f>
        <v>70000548</v>
      </c>
      <c r="M39" s="97">
        <f t="shared" ref="M39" si="22">L39/750</f>
        <v>93334.063999999998</v>
      </c>
    </row>
    <row r="40" spans="1:17" s="61" customFormat="1" ht="16.5">
      <c r="A40" s="84" t="s">
        <v>150</v>
      </c>
      <c r="B40" s="84"/>
      <c r="C40" s="84"/>
      <c r="D40" s="84"/>
      <c r="E40" s="84"/>
      <c r="F40" s="113">
        <f>SUM(F38:F39)</f>
        <v>110000545.5</v>
      </c>
      <c r="G40" s="113">
        <f t="shared" ref="G40:M40" si="23">SUM(G38:G39)</f>
        <v>146667.394</v>
      </c>
      <c r="H40" s="113">
        <f t="shared" si="23"/>
        <v>0</v>
      </c>
      <c r="I40" s="113">
        <f t="shared" si="23"/>
        <v>0</v>
      </c>
      <c r="J40" s="113">
        <f t="shared" si="23"/>
        <v>0</v>
      </c>
      <c r="K40" s="113">
        <f t="shared" si="23"/>
        <v>0</v>
      </c>
      <c r="L40" s="113">
        <f t="shared" si="23"/>
        <v>110000545.5</v>
      </c>
      <c r="M40" s="113">
        <f t="shared" si="23"/>
        <v>146667.394</v>
      </c>
    </row>
    <row r="41" spans="1:17" s="60" customFormat="1" ht="16.5">
      <c r="A41" s="89"/>
      <c r="B41" s="89"/>
      <c r="C41" s="89"/>
      <c r="D41" s="98"/>
      <c r="E41" s="89"/>
      <c r="F41" s="98"/>
      <c r="G41" s="98"/>
      <c r="H41" s="98"/>
      <c r="I41" s="98"/>
      <c r="J41" s="98"/>
      <c r="K41" s="98"/>
      <c r="L41" s="92"/>
      <c r="M41" s="178"/>
    </row>
    <row r="42" spans="1:17" s="59" customFormat="1" ht="16.5">
      <c r="A42" s="84" t="s">
        <v>147</v>
      </c>
      <c r="B42" s="84"/>
      <c r="C42" s="84"/>
      <c r="D42" s="93"/>
      <c r="E42" s="84"/>
      <c r="F42" s="93"/>
      <c r="G42" s="93"/>
      <c r="H42" s="93"/>
      <c r="I42" s="93"/>
      <c r="J42" s="93"/>
      <c r="K42" s="93"/>
      <c r="L42" s="87"/>
      <c r="M42" s="94"/>
      <c r="N42" s="60"/>
      <c r="O42" s="60"/>
      <c r="P42" s="60"/>
      <c r="Q42" s="60"/>
    </row>
    <row r="43" spans="1:17" s="61" customFormat="1" ht="16.5">
      <c r="A43" s="95" t="s">
        <v>106</v>
      </c>
      <c r="B43" s="95" t="s">
        <v>20</v>
      </c>
      <c r="C43" s="95">
        <v>1</v>
      </c>
      <c r="D43" s="96">
        <v>70000000</v>
      </c>
      <c r="E43" s="95">
        <v>1</v>
      </c>
      <c r="F43" s="96">
        <f>C43*D43</f>
        <v>70000000</v>
      </c>
      <c r="G43" s="79">
        <f t="shared" ref="G43:G48" si="24">F43/750</f>
        <v>93333.333333333328</v>
      </c>
      <c r="H43" s="96">
        <v>0</v>
      </c>
      <c r="I43" s="96">
        <v>0</v>
      </c>
      <c r="J43" s="96">
        <v>0</v>
      </c>
      <c r="K43" s="96">
        <v>0</v>
      </c>
      <c r="L43" s="79">
        <f t="shared" si="9"/>
        <v>70000000</v>
      </c>
      <c r="M43" s="97">
        <f t="shared" ref="M43:M48" si="25">L43/750</f>
        <v>93333.333333333328</v>
      </c>
    </row>
    <row r="44" spans="1:17" s="61" customFormat="1" ht="16.5">
      <c r="A44" s="95" t="s">
        <v>107</v>
      </c>
      <c r="B44" s="95" t="s">
        <v>20</v>
      </c>
      <c r="C44" s="95">
        <v>1</v>
      </c>
      <c r="D44" s="96">
        <v>2085000</v>
      </c>
      <c r="E44" s="95">
        <v>1</v>
      </c>
      <c r="F44" s="96">
        <f>C44*D44</f>
        <v>2085000</v>
      </c>
      <c r="G44" s="79">
        <f t="shared" si="24"/>
        <v>2780</v>
      </c>
      <c r="H44" s="96">
        <v>0</v>
      </c>
      <c r="I44" s="96">
        <v>0</v>
      </c>
      <c r="J44" s="96">
        <v>0</v>
      </c>
      <c r="K44" s="96">
        <v>0</v>
      </c>
      <c r="L44" s="79">
        <f t="shared" si="9"/>
        <v>2085000</v>
      </c>
      <c r="M44" s="97">
        <f t="shared" si="25"/>
        <v>2780</v>
      </c>
    </row>
    <row r="45" spans="1:17" s="61" customFormat="1" ht="16.5">
      <c r="A45" s="95" t="s">
        <v>108</v>
      </c>
      <c r="B45" s="95" t="s">
        <v>20</v>
      </c>
      <c r="C45" s="95">
        <v>1</v>
      </c>
      <c r="D45" s="96">
        <v>5235000</v>
      </c>
      <c r="E45" s="95">
        <v>1</v>
      </c>
      <c r="F45" s="96">
        <f>C45*D45</f>
        <v>5235000</v>
      </c>
      <c r="G45" s="79">
        <f t="shared" si="24"/>
        <v>6980</v>
      </c>
      <c r="H45" s="96">
        <v>0</v>
      </c>
      <c r="I45" s="96">
        <v>0</v>
      </c>
      <c r="J45" s="96">
        <v>0</v>
      </c>
      <c r="K45" s="96">
        <v>0</v>
      </c>
      <c r="L45" s="79">
        <f t="shared" si="9"/>
        <v>5235000</v>
      </c>
      <c r="M45" s="97">
        <f t="shared" si="25"/>
        <v>6980</v>
      </c>
    </row>
    <row r="46" spans="1:17" s="61" customFormat="1" ht="16.5">
      <c r="A46" s="95" t="s">
        <v>109</v>
      </c>
      <c r="B46" s="95" t="s">
        <v>102</v>
      </c>
      <c r="C46" s="95">
        <v>1</v>
      </c>
      <c r="D46" s="96">
        <v>1410000</v>
      </c>
      <c r="E46" s="95">
        <v>1</v>
      </c>
      <c r="F46" s="96">
        <f>C46*D46</f>
        <v>1410000</v>
      </c>
      <c r="G46" s="79">
        <f t="shared" si="24"/>
        <v>1880</v>
      </c>
      <c r="H46" s="96">
        <v>0</v>
      </c>
      <c r="I46" s="96">
        <v>0</v>
      </c>
      <c r="J46" s="96">
        <v>0</v>
      </c>
      <c r="K46" s="96">
        <v>0</v>
      </c>
      <c r="L46" s="79">
        <f t="shared" si="9"/>
        <v>1410000</v>
      </c>
      <c r="M46" s="97">
        <f t="shared" si="25"/>
        <v>1880</v>
      </c>
    </row>
    <row r="47" spans="1:17" s="3" customFormat="1" ht="16.5">
      <c r="A47" s="95" t="s">
        <v>110</v>
      </c>
      <c r="B47" s="95" t="s">
        <v>102</v>
      </c>
      <c r="C47" s="95">
        <v>1</v>
      </c>
      <c r="D47" s="96">
        <v>6000000</v>
      </c>
      <c r="E47" s="95">
        <v>1</v>
      </c>
      <c r="F47" s="96">
        <f>D47*C47</f>
        <v>6000000</v>
      </c>
      <c r="G47" s="79">
        <f t="shared" si="24"/>
        <v>8000</v>
      </c>
      <c r="H47" s="96">
        <v>0</v>
      </c>
      <c r="I47" s="96">
        <v>0</v>
      </c>
      <c r="J47" s="96">
        <v>0</v>
      </c>
      <c r="K47" s="96">
        <v>0</v>
      </c>
      <c r="L47" s="79">
        <f>F47+H47+I47+J47+K47</f>
        <v>6000000</v>
      </c>
      <c r="M47" s="97">
        <f t="shared" si="25"/>
        <v>8000</v>
      </c>
    </row>
    <row r="48" spans="1:17" s="59" customFormat="1" ht="16.5">
      <c r="A48" s="84" t="s">
        <v>111</v>
      </c>
      <c r="B48" s="84"/>
      <c r="C48" s="84"/>
      <c r="D48" s="93"/>
      <c r="E48" s="84"/>
      <c r="F48" s="93">
        <f>SUM(F43:F47)</f>
        <v>84730000</v>
      </c>
      <c r="G48" s="87">
        <f t="shared" si="24"/>
        <v>112973.33333333333</v>
      </c>
      <c r="H48" s="99">
        <v>0</v>
      </c>
      <c r="I48" s="99">
        <v>0</v>
      </c>
      <c r="J48" s="99">
        <v>0</v>
      </c>
      <c r="K48" s="99">
        <v>0</v>
      </c>
      <c r="L48" s="87">
        <f>F48+H48+I48+J48+K48</f>
        <v>84730000</v>
      </c>
      <c r="M48" s="94">
        <f t="shared" si="25"/>
        <v>112973.33333333333</v>
      </c>
      <c r="N48" s="60"/>
      <c r="O48" s="60"/>
      <c r="P48" s="60"/>
      <c r="Q48" s="60"/>
    </row>
    <row r="49" spans="1:17" s="3" customFormat="1" ht="16.5">
      <c r="A49" s="95"/>
      <c r="B49" s="95"/>
      <c r="C49" s="95"/>
      <c r="D49" s="96"/>
      <c r="E49" s="95"/>
      <c r="F49" s="96"/>
      <c r="G49" s="96"/>
      <c r="H49" s="96"/>
      <c r="I49" s="96"/>
      <c r="J49" s="96"/>
      <c r="K49" s="96"/>
      <c r="L49" s="79"/>
      <c r="M49" s="97"/>
    </row>
    <row r="50" spans="1:17" s="58" customFormat="1" ht="16.5">
      <c r="A50" s="84" t="s">
        <v>114</v>
      </c>
      <c r="B50" s="100"/>
      <c r="C50" s="100"/>
      <c r="D50" s="99"/>
      <c r="E50" s="100"/>
      <c r="F50" s="99"/>
      <c r="G50" s="99"/>
      <c r="H50" s="99"/>
      <c r="I50" s="99"/>
      <c r="J50" s="99"/>
      <c r="K50" s="99"/>
      <c r="L50" s="76"/>
      <c r="M50" s="94"/>
      <c r="N50" s="3"/>
      <c r="O50" s="3"/>
      <c r="P50" s="3"/>
      <c r="Q50" s="3"/>
    </row>
    <row r="51" spans="1:17" ht="16.5">
      <c r="A51" s="101" t="s">
        <v>112</v>
      </c>
      <c r="B51" s="101" t="s">
        <v>70</v>
      </c>
      <c r="C51" s="101">
        <v>4</v>
      </c>
      <c r="D51" s="102">
        <v>23587500</v>
      </c>
      <c r="E51" s="101">
        <v>1</v>
      </c>
      <c r="F51" s="102">
        <f>C51*D51</f>
        <v>94350000</v>
      </c>
      <c r="G51" s="79">
        <f t="shared" ref="G51:G56" si="26">F51/750</f>
        <v>125800</v>
      </c>
      <c r="H51" s="102">
        <v>0</v>
      </c>
      <c r="I51" s="102">
        <v>0</v>
      </c>
      <c r="J51" s="102">
        <v>0</v>
      </c>
      <c r="K51" s="102">
        <v>0</v>
      </c>
      <c r="L51" s="79">
        <f t="shared" ref="L51:L56" si="27">F51+H51+I51+J51+K51</f>
        <v>94350000</v>
      </c>
      <c r="M51" s="103">
        <f>L51/750</f>
        <v>125800</v>
      </c>
      <c r="N51" s="3"/>
      <c r="O51" s="3"/>
      <c r="P51" s="3"/>
      <c r="Q51" s="3"/>
    </row>
    <row r="52" spans="1:17" ht="16.5">
      <c r="A52" s="101" t="s">
        <v>113</v>
      </c>
      <c r="B52" s="101" t="s">
        <v>70</v>
      </c>
      <c r="C52" s="101">
        <v>1</v>
      </c>
      <c r="D52" s="102">
        <v>18750000</v>
      </c>
      <c r="E52" s="101">
        <v>1</v>
      </c>
      <c r="F52" s="102">
        <f>C52*D52</f>
        <v>18750000</v>
      </c>
      <c r="G52" s="79">
        <f t="shared" si="26"/>
        <v>25000</v>
      </c>
      <c r="H52" s="102">
        <v>0</v>
      </c>
      <c r="I52" s="102">
        <v>0</v>
      </c>
      <c r="J52" s="102">
        <v>0</v>
      </c>
      <c r="K52" s="102">
        <v>0</v>
      </c>
      <c r="L52" s="79">
        <f t="shared" si="27"/>
        <v>18750000</v>
      </c>
      <c r="M52" s="103">
        <f t="shared" ref="M52:M56" si="28">L52/750</f>
        <v>25000</v>
      </c>
      <c r="N52" s="3"/>
      <c r="O52" s="3"/>
      <c r="P52" s="3"/>
      <c r="Q52" s="3"/>
    </row>
    <row r="53" spans="1:17" ht="16.5">
      <c r="A53" s="101" t="s">
        <v>17</v>
      </c>
      <c r="B53" s="101" t="s">
        <v>76</v>
      </c>
      <c r="C53" s="101">
        <v>1</v>
      </c>
      <c r="D53" s="102">
        <v>7125000</v>
      </c>
      <c r="E53" s="101">
        <v>1</v>
      </c>
      <c r="F53" s="102">
        <f>C53*D53</f>
        <v>7125000</v>
      </c>
      <c r="G53" s="79">
        <f t="shared" si="26"/>
        <v>9500</v>
      </c>
      <c r="H53" s="102">
        <v>0</v>
      </c>
      <c r="I53" s="102">
        <v>0</v>
      </c>
      <c r="J53" s="102">
        <v>0</v>
      </c>
      <c r="K53" s="102">
        <v>0</v>
      </c>
      <c r="L53" s="79">
        <f t="shared" si="27"/>
        <v>7125000</v>
      </c>
      <c r="M53" s="103">
        <f t="shared" si="28"/>
        <v>9500</v>
      </c>
      <c r="N53" s="3"/>
      <c r="O53" s="3"/>
      <c r="P53" s="3"/>
      <c r="Q53" s="3"/>
    </row>
    <row r="54" spans="1:17" ht="16.5">
      <c r="A54" s="101" t="s">
        <v>132</v>
      </c>
      <c r="B54" s="101" t="s">
        <v>18</v>
      </c>
      <c r="C54" s="101">
        <v>1</v>
      </c>
      <c r="D54" s="102">
        <v>4500000</v>
      </c>
      <c r="E54" s="101"/>
      <c r="F54" s="102">
        <f>C54*D54</f>
        <v>4500000</v>
      </c>
      <c r="G54" s="79">
        <f t="shared" si="26"/>
        <v>6000</v>
      </c>
      <c r="H54" s="102">
        <v>0</v>
      </c>
      <c r="I54" s="102">
        <v>0</v>
      </c>
      <c r="J54" s="102">
        <v>0</v>
      </c>
      <c r="K54" s="102">
        <v>0</v>
      </c>
      <c r="L54" s="79">
        <f t="shared" si="27"/>
        <v>4500000</v>
      </c>
      <c r="M54" s="103">
        <f t="shared" si="28"/>
        <v>6000</v>
      </c>
      <c r="N54" s="3"/>
      <c r="O54" s="3"/>
      <c r="P54" s="3"/>
      <c r="Q54" s="3"/>
    </row>
    <row r="55" spans="1:17" ht="16.5">
      <c r="A55" s="101" t="s">
        <v>19</v>
      </c>
      <c r="B55" s="101" t="s">
        <v>68</v>
      </c>
      <c r="C55" s="101">
        <v>2</v>
      </c>
      <c r="D55" s="102">
        <v>4500000</v>
      </c>
      <c r="E55" s="101"/>
      <c r="F55" s="102">
        <f>C55*D55</f>
        <v>9000000</v>
      </c>
      <c r="G55" s="79">
        <f t="shared" si="26"/>
        <v>12000</v>
      </c>
      <c r="H55" s="102">
        <v>0</v>
      </c>
      <c r="I55" s="102">
        <v>0</v>
      </c>
      <c r="J55" s="102">
        <v>0</v>
      </c>
      <c r="K55" s="102">
        <v>0</v>
      </c>
      <c r="L55" s="79">
        <f t="shared" si="27"/>
        <v>9000000</v>
      </c>
      <c r="M55" s="103">
        <f t="shared" si="28"/>
        <v>12000</v>
      </c>
      <c r="N55" s="3"/>
      <c r="O55" s="3"/>
      <c r="P55" s="3"/>
      <c r="Q55" s="3"/>
    </row>
    <row r="56" spans="1:17" s="59" customFormat="1" ht="16.5">
      <c r="A56" s="84" t="s">
        <v>115</v>
      </c>
      <c r="B56" s="84"/>
      <c r="C56" s="84"/>
      <c r="D56" s="93"/>
      <c r="E56" s="84"/>
      <c r="F56" s="93">
        <f>SUM(F51:F55)</f>
        <v>133725000</v>
      </c>
      <c r="G56" s="87">
        <f t="shared" si="26"/>
        <v>178300</v>
      </c>
      <c r="H56" s="99">
        <v>0</v>
      </c>
      <c r="I56" s="99">
        <v>0</v>
      </c>
      <c r="J56" s="99">
        <v>0</v>
      </c>
      <c r="K56" s="99">
        <v>0</v>
      </c>
      <c r="L56" s="87">
        <f t="shared" si="27"/>
        <v>133725000</v>
      </c>
      <c r="M56" s="94">
        <f t="shared" si="28"/>
        <v>178300</v>
      </c>
      <c r="N56" s="60"/>
      <c r="O56" s="60"/>
      <c r="P56" s="60"/>
      <c r="Q56" s="60"/>
    </row>
    <row r="57" spans="1:17" s="3" customFormat="1" ht="16.5">
      <c r="A57" s="95"/>
      <c r="B57" s="95"/>
      <c r="C57" s="95"/>
      <c r="D57" s="96"/>
      <c r="E57" s="95"/>
      <c r="F57" s="95"/>
      <c r="G57" s="95"/>
      <c r="H57" s="96"/>
      <c r="I57" s="96"/>
      <c r="J57" s="96"/>
      <c r="K57" s="96"/>
      <c r="L57" s="79"/>
      <c r="M57" s="97"/>
    </row>
    <row r="58" spans="1:17" s="58" customFormat="1" ht="16.5">
      <c r="A58" s="84" t="s">
        <v>137</v>
      </c>
      <c r="B58" s="100"/>
      <c r="C58" s="100"/>
      <c r="D58" s="99"/>
      <c r="E58" s="100"/>
      <c r="F58" s="99"/>
      <c r="G58" s="99"/>
      <c r="H58" s="99"/>
      <c r="I58" s="99"/>
      <c r="J58" s="99"/>
      <c r="K58" s="99"/>
      <c r="L58" s="76"/>
      <c r="M58" s="94"/>
      <c r="N58" s="3"/>
      <c r="O58" s="3"/>
      <c r="P58" s="3"/>
      <c r="Q58" s="3"/>
    </row>
    <row r="59" spans="1:17" s="3" customFormat="1" ht="16.5">
      <c r="A59" s="95" t="s">
        <v>69</v>
      </c>
      <c r="B59" s="95" t="s">
        <v>75</v>
      </c>
      <c r="C59" s="95">
        <v>1</v>
      </c>
      <c r="D59" s="96">
        <v>12000000</v>
      </c>
      <c r="E59" s="95">
        <v>1</v>
      </c>
      <c r="F59" s="96">
        <f>C59*D59</f>
        <v>12000000</v>
      </c>
      <c r="G59" s="79">
        <f t="shared" ref="G59:G62" si="29">F59/750</f>
        <v>16000</v>
      </c>
      <c r="H59" s="96">
        <v>0</v>
      </c>
      <c r="I59" s="96">
        <v>0</v>
      </c>
      <c r="J59" s="96">
        <v>0</v>
      </c>
      <c r="K59" s="96">
        <v>0</v>
      </c>
      <c r="L59" s="79">
        <f t="shared" ref="L59:L70" si="30">F59+H59+I59+J59+K59</f>
        <v>12000000</v>
      </c>
      <c r="M59" s="97">
        <f>L59/750</f>
        <v>16000</v>
      </c>
    </row>
    <row r="60" spans="1:17" ht="16.5">
      <c r="A60" s="104" t="s">
        <v>67</v>
      </c>
      <c r="B60" s="101" t="s">
        <v>75</v>
      </c>
      <c r="C60" s="101">
        <v>1</v>
      </c>
      <c r="D60" s="102">
        <v>8500000</v>
      </c>
      <c r="E60" s="101">
        <v>1</v>
      </c>
      <c r="F60" s="102">
        <f>C60*D60</f>
        <v>8500000</v>
      </c>
      <c r="G60" s="79">
        <f t="shared" si="29"/>
        <v>11333.333333333334</v>
      </c>
      <c r="H60" s="102">
        <v>0</v>
      </c>
      <c r="I60" s="102">
        <v>0</v>
      </c>
      <c r="J60" s="102">
        <v>0</v>
      </c>
      <c r="K60" s="102">
        <v>0</v>
      </c>
      <c r="L60" s="79">
        <f t="shared" si="30"/>
        <v>8500000</v>
      </c>
      <c r="M60" s="97">
        <f t="shared" ref="M60:M62" si="31">L60/750</f>
        <v>11333.333333333334</v>
      </c>
      <c r="N60" s="3"/>
      <c r="O60" s="3"/>
      <c r="P60" s="3"/>
      <c r="Q60" s="3"/>
    </row>
    <row r="61" spans="1:17" s="61" customFormat="1" ht="16.5">
      <c r="A61" s="105" t="s">
        <v>131</v>
      </c>
      <c r="B61" s="101" t="s">
        <v>22</v>
      </c>
      <c r="C61" s="101">
        <v>2</v>
      </c>
      <c r="D61" s="79">
        <v>16582500</v>
      </c>
      <c r="E61" s="101">
        <v>1</v>
      </c>
      <c r="F61" s="102">
        <f>C61*D61</f>
        <v>33165000</v>
      </c>
      <c r="G61" s="79">
        <f t="shared" si="29"/>
        <v>44220</v>
      </c>
      <c r="H61" s="79">
        <f>SUM(H58:H59)</f>
        <v>0</v>
      </c>
      <c r="I61" s="79">
        <v>0</v>
      </c>
      <c r="J61" s="79">
        <v>0</v>
      </c>
      <c r="K61" s="79">
        <v>0</v>
      </c>
      <c r="L61" s="79">
        <f t="shared" si="30"/>
        <v>33165000</v>
      </c>
      <c r="M61" s="97">
        <f t="shared" si="31"/>
        <v>44220</v>
      </c>
    </row>
    <row r="62" spans="1:17" s="59" customFormat="1" ht="16.5">
      <c r="A62" s="74" t="s">
        <v>83</v>
      </c>
      <c r="B62" s="74"/>
      <c r="C62" s="74"/>
      <c r="D62" s="87"/>
      <c r="E62" s="74"/>
      <c r="F62" s="87">
        <f>SUM(F59:F61)</f>
        <v>53665000</v>
      </c>
      <c r="G62" s="87">
        <f t="shared" si="29"/>
        <v>71553.333333333328</v>
      </c>
      <c r="H62" s="87">
        <f>SUM(H59:H60)</f>
        <v>0</v>
      </c>
      <c r="I62" s="87">
        <f t="shared" ref="I62:K62" si="32">SUM(I59:I60)</f>
        <v>0</v>
      </c>
      <c r="J62" s="87">
        <f t="shared" si="32"/>
        <v>0</v>
      </c>
      <c r="K62" s="87">
        <f t="shared" si="32"/>
        <v>0</v>
      </c>
      <c r="L62" s="87">
        <f t="shared" si="30"/>
        <v>53665000</v>
      </c>
      <c r="M62" s="94">
        <f t="shared" si="31"/>
        <v>71553.333333333328</v>
      </c>
      <c r="N62" s="60"/>
      <c r="O62" s="60"/>
      <c r="P62" s="60"/>
      <c r="Q62" s="60"/>
    </row>
    <row r="63" spans="1:17" s="3" customFormat="1" ht="16.5">
      <c r="A63" s="78"/>
      <c r="B63" s="78"/>
      <c r="C63" s="78"/>
      <c r="D63" s="92"/>
      <c r="E63" s="78"/>
      <c r="F63" s="92"/>
      <c r="G63" s="92"/>
      <c r="H63" s="79"/>
      <c r="I63" s="79"/>
      <c r="J63" s="79"/>
      <c r="K63" s="79"/>
      <c r="L63" s="92"/>
      <c r="M63" s="97"/>
    </row>
    <row r="64" spans="1:17" s="58" customFormat="1" ht="16.5">
      <c r="A64" s="74" t="s">
        <v>138</v>
      </c>
      <c r="B64" s="75"/>
      <c r="C64" s="106"/>
      <c r="D64" s="76"/>
      <c r="E64" s="75"/>
      <c r="F64" s="76"/>
      <c r="G64" s="76"/>
      <c r="H64" s="76"/>
      <c r="I64" s="76"/>
      <c r="J64" s="76"/>
      <c r="K64" s="76"/>
      <c r="L64" s="87"/>
      <c r="M64" s="94"/>
      <c r="N64" s="3"/>
      <c r="O64" s="3"/>
      <c r="P64" s="3"/>
      <c r="Q64" s="3"/>
    </row>
    <row r="65" spans="1:17" s="3" customFormat="1" ht="16.5">
      <c r="A65" s="77" t="s">
        <v>116</v>
      </c>
      <c r="B65" s="77" t="s">
        <v>133</v>
      </c>
      <c r="C65" s="107">
        <v>1</v>
      </c>
      <c r="D65" s="79">
        <v>2500000</v>
      </c>
      <c r="E65" s="77">
        <v>12</v>
      </c>
      <c r="F65" s="79">
        <f>C65*D65*6</f>
        <v>15000000</v>
      </c>
      <c r="G65" s="79">
        <f t="shared" ref="G65:G69" si="33">F65/750</f>
        <v>20000</v>
      </c>
      <c r="H65" s="79">
        <f>D65*12</f>
        <v>30000000</v>
      </c>
      <c r="I65" s="79">
        <f>H65*1.1</f>
        <v>33000000.000000004</v>
      </c>
      <c r="J65" s="79">
        <f t="shared" ref="J65:K65" si="34">I65*1.1</f>
        <v>36300000.000000007</v>
      </c>
      <c r="K65" s="79">
        <f t="shared" si="34"/>
        <v>39930000.000000015</v>
      </c>
      <c r="L65" s="79">
        <f t="shared" si="30"/>
        <v>154230000</v>
      </c>
      <c r="M65" s="97">
        <f>L65/750</f>
        <v>205640</v>
      </c>
    </row>
    <row r="66" spans="1:17" s="61" customFormat="1" ht="16.5">
      <c r="A66" s="95" t="s">
        <v>152</v>
      </c>
      <c r="B66" s="95" t="s">
        <v>20</v>
      </c>
      <c r="C66" s="95">
        <v>1</v>
      </c>
      <c r="D66" s="96">
        <v>24798000</v>
      </c>
      <c r="E66" s="95">
        <v>2</v>
      </c>
      <c r="F66" s="96">
        <f>C66*D66</f>
        <v>24798000</v>
      </c>
      <c r="G66" s="79">
        <f t="shared" ref="G66" si="35">F66/750</f>
        <v>33064</v>
      </c>
      <c r="H66" s="96">
        <f>F66*40%</f>
        <v>9919200</v>
      </c>
      <c r="I66" s="96">
        <f>H66*1.1</f>
        <v>10911120</v>
      </c>
      <c r="J66" s="96">
        <f t="shared" ref="J66:K66" si="36">I66*1.1</f>
        <v>12002232.000000002</v>
      </c>
      <c r="K66" s="96">
        <f t="shared" si="36"/>
        <v>13202455.200000003</v>
      </c>
      <c r="L66" s="79">
        <f t="shared" ref="L66" si="37">F66+H66+I66+J66+K66</f>
        <v>70833007.200000003</v>
      </c>
      <c r="M66" s="97">
        <f t="shared" ref="M66" si="38">L66/750</f>
        <v>94444.009600000005</v>
      </c>
    </row>
    <row r="67" spans="1:17" s="3" customFormat="1" ht="16.5">
      <c r="A67" s="77" t="s">
        <v>117</v>
      </c>
      <c r="B67" s="77" t="s">
        <v>133</v>
      </c>
      <c r="C67" s="107">
        <v>1</v>
      </c>
      <c r="D67" s="79">
        <v>1725000</v>
      </c>
      <c r="E67" s="77">
        <v>12</v>
      </c>
      <c r="F67" s="79">
        <f>C67*D67*6</f>
        <v>10350000</v>
      </c>
      <c r="G67" s="79">
        <f t="shared" si="33"/>
        <v>13800</v>
      </c>
      <c r="H67" s="79">
        <f>D67*12</f>
        <v>20700000</v>
      </c>
      <c r="I67" s="79">
        <f>H67*1.1</f>
        <v>22770000</v>
      </c>
      <c r="J67" s="79">
        <f t="shared" ref="J67:K67" si="39">I67*1.1</f>
        <v>25047000.000000004</v>
      </c>
      <c r="K67" s="79">
        <f t="shared" si="39"/>
        <v>27551700.000000007</v>
      </c>
      <c r="L67" s="79">
        <f t="shared" si="30"/>
        <v>106418700</v>
      </c>
      <c r="M67" s="97">
        <f t="shared" ref="M67:M70" si="40">L67/750</f>
        <v>141891.6</v>
      </c>
    </row>
    <row r="68" spans="1:17" s="3" customFormat="1" ht="16.5">
      <c r="A68" s="77" t="s">
        <v>118</v>
      </c>
      <c r="B68" s="77" t="s">
        <v>133</v>
      </c>
      <c r="C68" s="107">
        <v>1</v>
      </c>
      <c r="D68" s="79">
        <v>1200000</v>
      </c>
      <c r="E68" s="77">
        <v>12</v>
      </c>
      <c r="F68" s="79">
        <f>C68*D68*6</f>
        <v>7200000</v>
      </c>
      <c r="G68" s="79">
        <f t="shared" si="33"/>
        <v>9600</v>
      </c>
      <c r="H68" s="79">
        <f>D68*12</f>
        <v>14400000</v>
      </c>
      <c r="I68" s="79">
        <f>H68*1.1</f>
        <v>15840000.000000002</v>
      </c>
      <c r="J68" s="79">
        <f t="shared" ref="J68:K68" si="41">I68*1.1</f>
        <v>17424000.000000004</v>
      </c>
      <c r="K68" s="79">
        <f t="shared" si="41"/>
        <v>19166400.000000007</v>
      </c>
      <c r="L68" s="79">
        <f t="shared" si="30"/>
        <v>74030400</v>
      </c>
      <c r="M68" s="97">
        <f t="shared" si="40"/>
        <v>98707.199999999997</v>
      </c>
    </row>
    <row r="69" spans="1:17" s="3" customFormat="1" ht="16.5">
      <c r="A69" s="77" t="s">
        <v>119</v>
      </c>
      <c r="B69" s="77" t="s">
        <v>102</v>
      </c>
      <c r="C69" s="107">
        <v>1</v>
      </c>
      <c r="D69" s="79">
        <v>3000000</v>
      </c>
      <c r="E69" s="77">
        <v>12</v>
      </c>
      <c r="F69" s="79">
        <f>C69*D69*6</f>
        <v>18000000</v>
      </c>
      <c r="G69" s="79">
        <f t="shared" si="33"/>
        <v>24000</v>
      </c>
      <c r="H69" s="79">
        <f>F69*1.1</f>
        <v>19800000</v>
      </c>
      <c r="I69" s="79">
        <f t="shared" ref="I69:K69" si="42">G69*1.1</f>
        <v>26400.000000000004</v>
      </c>
      <c r="J69" s="79">
        <f t="shared" si="42"/>
        <v>21780000</v>
      </c>
      <c r="K69" s="79">
        <f t="shared" si="42"/>
        <v>29040.000000000007</v>
      </c>
      <c r="L69" s="79">
        <f t="shared" si="30"/>
        <v>59635440</v>
      </c>
      <c r="M69" s="97">
        <f t="shared" si="40"/>
        <v>79513.919999999998</v>
      </c>
    </row>
    <row r="70" spans="1:17" s="58" customFormat="1" ht="16.5">
      <c r="A70" s="74" t="s">
        <v>83</v>
      </c>
      <c r="B70" s="108"/>
      <c r="C70" s="109"/>
      <c r="D70" s="110"/>
      <c r="E70" s="108"/>
      <c r="F70" s="87">
        <f>SUM(F65:F69)</f>
        <v>75348000</v>
      </c>
      <c r="G70" s="87">
        <f>SUM(G65:G69)</f>
        <v>100464</v>
      </c>
      <c r="H70" s="87">
        <f>SUM(H65:H69)</f>
        <v>94819200</v>
      </c>
      <c r="I70" s="87">
        <f t="shared" ref="I70:K70" si="43">SUM(I65:I69)</f>
        <v>82547520</v>
      </c>
      <c r="J70" s="87">
        <f t="shared" si="43"/>
        <v>112553232.00000001</v>
      </c>
      <c r="K70" s="87">
        <f t="shared" si="43"/>
        <v>99879595.200000018</v>
      </c>
      <c r="L70" s="87">
        <f t="shared" si="30"/>
        <v>465147547.20000005</v>
      </c>
      <c r="M70" s="94">
        <f t="shared" si="40"/>
        <v>620196.72960000008</v>
      </c>
      <c r="N70" s="3"/>
      <c r="O70" s="3"/>
      <c r="P70" s="3"/>
      <c r="Q70" s="3"/>
    </row>
    <row r="71" spans="1:17" s="3" customFormat="1" ht="16.5">
      <c r="A71" s="77"/>
      <c r="B71" s="77"/>
      <c r="C71" s="107"/>
      <c r="D71" s="92"/>
      <c r="E71" s="77"/>
      <c r="F71" s="79"/>
      <c r="G71" s="79"/>
      <c r="H71" s="79"/>
      <c r="I71" s="79"/>
      <c r="J71" s="79"/>
      <c r="K71" s="79"/>
      <c r="L71" s="79"/>
      <c r="M71" s="97"/>
    </row>
    <row r="72" spans="1:17" s="58" customFormat="1" ht="16.5">
      <c r="A72" s="74" t="s">
        <v>139</v>
      </c>
      <c r="B72" s="75"/>
      <c r="C72" s="75"/>
      <c r="D72" s="76"/>
      <c r="E72" s="75"/>
      <c r="F72" s="76"/>
      <c r="G72" s="76"/>
      <c r="H72" s="76"/>
      <c r="I72" s="76"/>
      <c r="J72" s="76"/>
      <c r="K72" s="76"/>
      <c r="L72" s="76"/>
      <c r="M72" s="94"/>
      <c r="N72" s="3"/>
      <c r="O72" s="3"/>
      <c r="P72" s="3"/>
      <c r="Q72" s="3"/>
    </row>
    <row r="73" spans="1:17" s="3" customFormat="1" ht="16.5">
      <c r="A73" s="77" t="s">
        <v>120</v>
      </c>
      <c r="B73" s="77" t="s">
        <v>65</v>
      </c>
      <c r="C73" s="77">
        <v>1</v>
      </c>
      <c r="D73" s="79">
        <v>55000000</v>
      </c>
      <c r="E73" s="77">
        <v>1</v>
      </c>
      <c r="F73" s="80">
        <f t="shared" ref="F73:F78" si="44">C73*D73</f>
        <v>55000000</v>
      </c>
      <c r="G73" s="79">
        <f t="shared" ref="G73:G79" si="45">F73/750</f>
        <v>73333.333333333328</v>
      </c>
      <c r="H73" s="79">
        <v>0</v>
      </c>
      <c r="I73" s="79">
        <v>0</v>
      </c>
      <c r="J73" s="79">
        <v>0</v>
      </c>
      <c r="K73" s="79">
        <v>0</v>
      </c>
      <c r="L73" s="80">
        <f t="shared" ref="L73:L79" si="46">F73+H73+I73+J73+K73</f>
        <v>55000000</v>
      </c>
      <c r="M73" s="103">
        <f>L73/750</f>
        <v>73333.333333333328</v>
      </c>
    </row>
    <row r="74" spans="1:17" s="3" customFormat="1" ht="16.5">
      <c r="A74" s="77" t="s">
        <v>121</v>
      </c>
      <c r="B74" s="77" t="s">
        <v>65</v>
      </c>
      <c r="C74" s="77">
        <v>1</v>
      </c>
      <c r="D74" s="79">
        <v>27999999.5</v>
      </c>
      <c r="E74" s="77">
        <v>1</v>
      </c>
      <c r="F74" s="80">
        <f t="shared" si="44"/>
        <v>27999999.5</v>
      </c>
      <c r="G74" s="79">
        <f t="shared" si="45"/>
        <v>37333.332666666669</v>
      </c>
      <c r="H74" s="79">
        <v>0</v>
      </c>
      <c r="I74" s="79">
        <v>0</v>
      </c>
      <c r="J74" s="79">
        <v>0</v>
      </c>
      <c r="K74" s="79">
        <v>0</v>
      </c>
      <c r="L74" s="80">
        <f t="shared" si="46"/>
        <v>27999999.5</v>
      </c>
      <c r="M74" s="103">
        <f t="shared" ref="M74:M78" si="47">L74/750</f>
        <v>37333.332666666669</v>
      </c>
    </row>
    <row r="75" spans="1:17" s="3" customFormat="1" ht="16.5">
      <c r="A75" s="77" t="s">
        <v>122</v>
      </c>
      <c r="B75" s="77" t="s">
        <v>65</v>
      </c>
      <c r="C75" s="77">
        <v>1</v>
      </c>
      <c r="D75" s="79">
        <v>16000000</v>
      </c>
      <c r="E75" s="77">
        <v>1</v>
      </c>
      <c r="F75" s="80">
        <f t="shared" si="44"/>
        <v>16000000</v>
      </c>
      <c r="G75" s="79">
        <f t="shared" si="45"/>
        <v>21333.333333333332</v>
      </c>
      <c r="H75" s="79">
        <v>0</v>
      </c>
      <c r="I75" s="79">
        <v>0</v>
      </c>
      <c r="J75" s="79">
        <v>0</v>
      </c>
      <c r="K75" s="79">
        <v>0</v>
      </c>
      <c r="L75" s="80">
        <f t="shared" si="46"/>
        <v>16000000</v>
      </c>
      <c r="M75" s="103">
        <f t="shared" si="47"/>
        <v>21333.333333333332</v>
      </c>
    </row>
    <row r="76" spans="1:17" s="3" customFormat="1" ht="16.5">
      <c r="A76" s="77" t="s">
        <v>123</v>
      </c>
      <c r="B76" s="77" t="s">
        <v>66</v>
      </c>
      <c r="C76" s="77">
        <v>1</v>
      </c>
      <c r="D76" s="79">
        <v>12000000</v>
      </c>
      <c r="E76" s="77">
        <v>1</v>
      </c>
      <c r="F76" s="80">
        <f t="shared" si="44"/>
        <v>12000000</v>
      </c>
      <c r="G76" s="79">
        <f t="shared" si="45"/>
        <v>16000</v>
      </c>
      <c r="H76" s="79">
        <v>0</v>
      </c>
      <c r="I76" s="79">
        <v>0</v>
      </c>
      <c r="J76" s="79">
        <v>0</v>
      </c>
      <c r="K76" s="79">
        <v>0</v>
      </c>
      <c r="L76" s="80">
        <f t="shared" si="46"/>
        <v>12000000</v>
      </c>
      <c r="M76" s="103">
        <f t="shared" si="47"/>
        <v>16000</v>
      </c>
    </row>
    <row r="77" spans="1:17" ht="16.5">
      <c r="A77" s="77" t="s">
        <v>124</v>
      </c>
      <c r="B77" s="77" t="s">
        <v>66</v>
      </c>
      <c r="C77" s="77">
        <v>1</v>
      </c>
      <c r="D77" s="79">
        <v>8000000</v>
      </c>
      <c r="E77" s="77">
        <v>1</v>
      </c>
      <c r="F77" s="80">
        <f t="shared" si="44"/>
        <v>8000000</v>
      </c>
      <c r="G77" s="79">
        <f t="shared" si="45"/>
        <v>10666.666666666666</v>
      </c>
      <c r="H77" s="79">
        <v>0</v>
      </c>
      <c r="I77" s="79">
        <v>0</v>
      </c>
      <c r="J77" s="79">
        <v>0</v>
      </c>
      <c r="K77" s="79">
        <v>0</v>
      </c>
      <c r="L77" s="80">
        <f t="shared" si="46"/>
        <v>8000000</v>
      </c>
      <c r="M77" s="103">
        <f t="shared" si="47"/>
        <v>10666.666666666666</v>
      </c>
      <c r="N77" s="3"/>
      <c r="O77" s="3"/>
      <c r="P77" s="3"/>
      <c r="Q77" s="3"/>
    </row>
    <row r="78" spans="1:17" ht="16.5">
      <c r="A78" s="77" t="s">
        <v>125</v>
      </c>
      <c r="B78" s="77" t="s">
        <v>126</v>
      </c>
      <c r="C78" s="77">
        <v>1</v>
      </c>
      <c r="D78" s="79">
        <v>50864505</v>
      </c>
      <c r="E78" s="77">
        <v>1</v>
      </c>
      <c r="F78" s="80">
        <f t="shared" si="44"/>
        <v>50864505</v>
      </c>
      <c r="G78" s="79">
        <f t="shared" si="45"/>
        <v>67819.34</v>
      </c>
      <c r="H78" s="79">
        <v>0</v>
      </c>
      <c r="I78" s="79">
        <v>0</v>
      </c>
      <c r="J78" s="79">
        <v>0</v>
      </c>
      <c r="K78" s="79">
        <v>0</v>
      </c>
      <c r="L78" s="80">
        <f t="shared" si="46"/>
        <v>50864505</v>
      </c>
      <c r="M78" s="103">
        <f t="shared" si="47"/>
        <v>67819.34</v>
      </c>
      <c r="N78" s="3"/>
      <c r="O78" s="3"/>
      <c r="P78" s="3"/>
      <c r="Q78" s="3"/>
    </row>
    <row r="79" spans="1:17" s="58" customFormat="1" ht="16.5">
      <c r="A79" s="85" t="s">
        <v>81</v>
      </c>
      <c r="B79" s="111"/>
      <c r="C79" s="111"/>
      <c r="D79" s="93"/>
      <c r="E79" s="85"/>
      <c r="F79" s="87">
        <f>SUM(F73:F78)</f>
        <v>169864504.5</v>
      </c>
      <c r="G79" s="87">
        <f t="shared" si="45"/>
        <v>226486.00599999999</v>
      </c>
      <c r="H79" s="76">
        <v>0</v>
      </c>
      <c r="I79" s="76">
        <v>0</v>
      </c>
      <c r="J79" s="76">
        <v>0</v>
      </c>
      <c r="K79" s="76">
        <v>0</v>
      </c>
      <c r="L79" s="87">
        <f t="shared" si="46"/>
        <v>169864504.5</v>
      </c>
      <c r="M79" s="94">
        <f>L79/750</f>
        <v>226486.00599999999</v>
      </c>
      <c r="N79" s="3"/>
      <c r="O79" s="3"/>
      <c r="P79" s="3"/>
      <c r="Q79" s="3"/>
    </row>
    <row r="80" spans="1:17" s="3" customFormat="1" ht="16.5">
      <c r="A80" s="90"/>
      <c r="B80" s="89"/>
      <c r="C80" s="89"/>
      <c r="D80" s="96"/>
      <c r="E80" s="89"/>
      <c r="F80" s="96"/>
      <c r="G80" s="96"/>
      <c r="H80" s="96"/>
      <c r="I80" s="96"/>
      <c r="J80" s="96"/>
      <c r="K80" s="96"/>
      <c r="L80" s="96"/>
      <c r="M80" s="112">
        <v>0</v>
      </c>
    </row>
    <row r="81" spans="1:17" s="58" customFormat="1" ht="16.5">
      <c r="A81" s="84" t="s">
        <v>140</v>
      </c>
      <c r="B81" s="100"/>
      <c r="C81" s="100"/>
      <c r="D81" s="99"/>
      <c r="E81" s="100"/>
      <c r="F81" s="99"/>
      <c r="G81" s="99"/>
      <c r="H81" s="99"/>
      <c r="I81" s="99"/>
      <c r="J81" s="99"/>
      <c r="K81" s="99"/>
      <c r="L81" s="76"/>
      <c r="M81" s="113"/>
    </row>
    <row r="82" spans="1:17" ht="16.5">
      <c r="A82" s="114" t="s">
        <v>28</v>
      </c>
      <c r="B82" s="114" t="s">
        <v>31</v>
      </c>
      <c r="C82" s="114">
        <v>5</v>
      </c>
      <c r="D82" s="115">
        <v>4000000</v>
      </c>
      <c r="E82" s="114">
        <v>1</v>
      </c>
      <c r="F82" s="116">
        <f>C82*D82</f>
        <v>20000000</v>
      </c>
      <c r="G82" s="79">
        <f t="shared" ref="G82:G90" si="48">F82/750</f>
        <v>26666.666666666668</v>
      </c>
      <c r="H82" s="116">
        <f t="shared" ref="H82:H83" si="49">F82*110%</f>
        <v>22000000</v>
      </c>
      <c r="I82" s="116">
        <f t="shared" ref="I82:K87" si="50">H82*110%</f>
        <v>24200000.000000004</v>
      </c>
      <c r="J82" s="116">
        <f t="shared" si="50"/>
        <v>26620000.000000007</v>
      </c>
      <c r="K82" s="116">
        <f t="shared" si="50"/>
        <v>29282000.000000011</v>
      </c>
      <c r="L82" s="80">
        <f t="shared" ref="L82:L88" si="51">F82+H82+I82+J82+K82</f>
        <v>122102000.00000001</v>
      </c>
      <c r="M82" s="112">
        <f>L82/750</f>
        <v>162802.66666666669</v>
      </c>
      <c r="N82" s="3"/>
      <c r="O82" s="3"/>
      <c r="P82" s="3"/>
      <c r="Q82" s="3"/>
    </row>
    <row r="83" spans="1:17" ht="16.5">
      <c r="A83" s="114" t="s">
        <v>30</v>
      </c>
      <c r="B83" s="117" t="s">
        <v>31</v>
      </c>
      <c r="C83" s="117">
        <v>5</v>
      </c>
      <c r="D83" s="115">
        <v>150000</v>
      </c>
      <c r="E83" s="117">
        <v>4</v>
      </c>
      <c r="F83" s="80">
        <f>C83*D83*4</f>
        <v>3000000</v>
      </c>
      <c r="G83" s="79">
        <f t="shared" si="48"/>
        <v>4000</v>
      </c>
      <c r="H83" s="115">
        <f t="shared" si="49"/>
        <v>3300000.0000000005</v>
      </c>
      <c r="I83" s="115">
        <f t="shared" ref="I83:K83" si="52">H83*110%</f>
        <v>3630000.0000000009</v>
      </c>
      <c r="J83" s="115">
        <f t="shared" si="52"/>
        <v>3993000.0000000014</v>
      </c>
      <c r="K83" s="115">
        <f t="shared" si="52"/>
        <v>4392300.0000000019</v>
      </c>
      <c r="L83" s="80">
        <f t="shared" si="51"/>
        <v>18315300.000000004</v>
      </c>
      <c r="M83" s="112">
        <f t="shared" ref="M83:M90" si="53">L83/750</f>
        <v>24420.400000000005</v>
      </c>
      <c r="N83" s="3"/>
      <c r="O83" s="3"/>
      <c r="P83" s="3"/>
      <c r="Q83" s="3"/>
    </row>
    <row r="84" spans="1:17" ht="16.5">
      <c r="A84" s="114" t="s">
        <v>32</v>
      </c>
      <c r="B84" s="114" t="s">
        <v>29</v>
      </c>
      <c r="C84" s="114">
        <v>1</v>
      </c>
      <c r="D84" s="116">
        <v>60000</v>
      </c>
      <c r="E84" s="114">
        <v>12</v>
      </c>
      <c r="F84" s="80">
        <f>C84*D84*6</f>
        <v>360000</v>
      </c>
      <c r="G84" s="79">
        <f t="shared" si="48"/>
        <v>480</v>
      </c>
      <c r="H84" s="116">
        <f>C84*D84*12</f>
        <v>720000</v>
      </c>
      <c r="I84" s="116">
        <f t="shared" si="50"/>
        <v>792000.00000000012</v>
      </c>
      <c r="J84" s="116">
        <f t="shared" si="50"/>
        <v>871200.00000000023</v>
      </c>
      <c r="K84" s="116">
        <f t="shared" si="50"/>
        <v>958320.00000000035</v>
      </c>
      <c r="L84" s="80">
        <f t="shared" si="51"/>
        <v>3701520.0000000005</v>
      </c>
      <c r="M84" s="112">
        <f t="shared" si="53"/>
        <v>4935.3600000000006</v>
      </c>
      <c r="N84" s="3"/>
      <c r="O84" s="3"/>
      <c r="P84" s="3"/>
      <c r="Q84" s="3"/>
    </row>
    <row r="85" spans="1:17" ht="16.5">
      <c r="A85" s="114" t="s">
        <v>135</v>
      </c>
      <c r="B85" s="114" t="s">
        <v>134</v>
      </c>
      <c r="C85" s="114">
        <v>5</v>
      </c>
      <c r="D85" s="116">
        <v>250000</v>
      </c>
      <c r="E85" s="114">
        <v>12</v>
      </c>
      <c r="F85" s="80">
        <f>C85*D85*6</f>
        <v>7500000</v>
      </c>
      <c r="G85" s="79">
        <f t="shared" si="48"/>
        <v>10000</v>
      </c>
      <c r="H85" s="116">
        <f>C85*D85*12</f>
        <v>15000000</v>
      </c>
      <c r="I85" s="116">
        <f t="shared" si="50"/>
        <v>16500000.000000002</v>
      </c>
      <c r="J85" s="116">
        <f t="shared" ref="J85" si="54">I85*110%</f>
        <v>18150000.000000004</v>
      </c>
      <c r="K85" s="116">
        <f t="shared" ref="K85" si="55">J85*110%</f>
        <v>19965000.000000007</v>
      </c>
      <c r="L85" s="80">
        <f t="shared" si="51"/>
        <v>77115000</v>
      </c>
      <c r="M85" s="112">
        <f t="shared" si="53"/>
        <v>102820</v>
      </c>
      <c r="N85" s="3"/>
      <c r="O85" s="3"/>
      <c r="P85" s="3"/>
      <c r="Q85" s="3"/>
    </row>
    <row r="86" spans="1:17" ht="16.5">
      <c r="A86" s="114" t="s">
        <v>33</v>
      </c>
      <c r="B86" s="114" t="s">
        <v>29</v>
      </c>
      <c r="C86" s="114">
        <v>1</v>
      </c>
      <c r="D86" s="116">
        <v>90000</v>
      </c>
      <c r="E86" s="114">
        <v>12</v>
      </c>
      <c r="F86" s="116">
        <f>C86*D86*6</f>
        <v>540000</v>
      </c>
      <c r="G86" s="79">
        <f t="shared" si="48"/>
        <v>720</v>
      </c>
      <c r="H86" s="116">
        <f>C86*D86*12</f>
        <v>1080000</v>
      </c>
      <c r="I86" s="116">
        <f t="shared" si="50"/>
        <v>1188000</v>
      </c>
      <c r="J86" s="116">
        <f t="shared" si="50"/>
        <v>1306800</v>
      </c>
      <c r="K86" s="116">
        <f t="shared" si="50"/>
        <v>1437480</v>
      </c>
      <c r="L86" s="80">
        <f t="shared" si="51"/>
        <v>5552280</v>
      </c>
      <c r="M86" s="112">
        <f t="shared" si="53"/>
        <v>7403.04</v>
      </c>
      <c r="N86" s="3"/>
      <c r="O86" s="3"/>
      <c r="P86" s="3"/>
      <c r="Q86" s="3"/>
    </row>
    <row r="87" spans="1:17" ht="16.5">
      <c r="A87" s="114" t="s">
        <v>34</v>
      </c>
      <c r="B87" s="114" t="s">
        <v>29</v>
      </c>
      <c r="C87" s="114">
        <v>1</v>
      </c>
      <c r="D87" s="116">
        <v>50000</v>
      </c>
      <c r="E87" s="118">
        <v>12</v>
      </c>
      <c r="F87" s="116">
        <f>C87*D87*6</f>
        <v>300000</v>
      </c>
      <c r="G87" s="79">
        <f t="shared" si="48"/>
        <v>400</v>
      </c>
      <c r="H87" s="116">
        <f>C87*D87*12</f>
        <v>600000</v>
      </c>
      <c r="I87" s="116">
        <f t="shared" si="50"/>
        <v>660000</v>
      </c>
      <c r="J87" s="116">
        <f t="shared" si="50"/>
        <v>726000.00000000012</v>
      </c>
      <c r="K87" s="116">
        <f t="shared" si="50"/>
        <v>798600.00000000023</v>
      </c>
      <c r="L87" s="80">
        <f t="shared" si="51"/>
        <v>3084600</v>
      </c>
      <c r="M87" s="112">
        <f t="shared" si="53"/>
        <v>4112.8</v>
      </c>
      <c r="N87" s="3"/>
      <c r="O87" s="3"/>
      <c r="P87" s="3"/>
      <c r="Q87" s="3"/>
    </row>
    <row r="88" spans="1:17" ht="16.5">
      <c r="A88" s="77" t="s">
        <v>24</v>
      </c>
      <c r="B88" s="77" t="s">
        <v>25</v>
      </c>
      <c r="C88" s="107">
        <v>35</v>
      </c>
      <c r="D88" s="119">
        <v>20000</v>
      </c>
      <c r="E88" s="77">
        <v>1</v>
      </c>
      <c r="F88" s="80">
        <f>C88*D88</f>
        <v>700000</v>
      </c>
      <c r="G88" s="79">
        <f t="shared" si="48"/>
        <v>933.33333333333337</v>
      </c>
      <c r="H88" s="80">
        <f>F88*1.1</f>
        <v>770000.00000000012</v>
      </c>
      <c r="I88" s="80">
        <f>H88*1.1</f>
        <v>847000.00000000023</v>
      </c>
      <c r="J88" s="80">
        <f>I88*1.1</f>
        <v>931700.00000000035</v>
      </c>
      <c r="K88" s="80">
        <f>J88*1.1</f>
        <v>1024870.0000000005</v>
      </c>
      <c r="L88" s="80">
        <f t="shared" si="51"/>
        <v>4273570.0000000009</v>
      </c>
      <c r="M88" s="112">
        <f t="shared" si="53"/>
        <v>5698.0933333333342</v>
      </c>
      <c r="N88" s="3"/>
      <c r="O88" s="3" t="s">
        <v>16</v>
      </c>
      <c r="P88" s="3"/>
      <c r="Q88" s="3"/>
    </row>
    <row r="89" spans="1:17" s="61" customFormat="1" ht="16.5">
      <c r="A89" s="77" t="s">
        <v>127</v>
      </c>
      <c r="B89" s="120" t="s">
        <v>66</v>
      </c>
      <c r="C89" s="120">
        <v>1</v>
      </c>
      <c r="D89" s="79">
        <v>6000000</v>
      </c>
      <c r="E89" s="77">
        <v>1</v>
      </c>
      <c r="F89" s="79">
        <f>C89*D89</f>
        <v>6000000</v>
      </c>
      <c r="G89" s="79">
        <f t="shared" si="48"/>
        <v>8000</v>
      </c>
      <c r="H89" s="79">
        <f>F89*1.1</f>
        <v>6600000.0000000009</v>
      </c>
      <c r="I89" s="79">
        <f t="shared" ref="I89:J89" si="56">H89*1.1</f>
        <v>7260000.0000000019</v>
      </c>
      <c r="J89" s="79">
        <f t="shared" si="56"/>
        <v>7986000.0000000028</v>
      </c>
      <c r="K89" s="119">
        <f>J89*1.1</f>
        <v>8784600.0000000037</v>
      </c>
      <c r="L89" s="119">
        <f>SUM(L82:L88)</f>
        <v>234144270.00000003</v>
      </c>
      <c r="M89" s="121">
        <f t="shared" si="53"/>
        <v>312192.36000000004</v>
      </c>
      <c r="N89" s="62"/>
    </row>
    <row r="90" spans="1:17" s="58" customFormat="1" ht="16.5">
      <c r="A90" s="85" t="s">
        <v>35</v>
      </c>
      <c r="B90" s="74"/>
      <c r="C90" s="74"/>
      <c r="D90" s="87"/>
      <c r="E90" s="74"/>
      <c r="F90" s="87">
        <f>SUM(F82:F89)</f>
        <v>38400000</v>
      </c>
      <c r="G90" s="87">
        <f t="shared" si="48"/>
        <v>51200</v>
      </c>
      <c r="H90" s="87">
        <f t="shared" ref="H90:K90" si="57">SUM(H82:H89)</f>
        <v>50070000</v>
      </c>
      <c r="I90" s="87">
        <f t="shared" si="57"/>
        <v>55077000.000000007</v>
      </c>
      <c r="J90" s="87">
        <f t="shared" si="57"/>
        <v>60584700.000000015</v>
      </c>
      <c r="K90" s="87">
        <f t="shared" si="57"/>
        <v>66643170.00000003</v>
      </c>
      <c r="L90" s="87">
        <f t="shared" ref="L90" si="58">F90+H90+I90+J90+K90</f>
        <v>270774870</v>
      </c>
      <c r="M90" s="113">
        <f t="shared" si="53"/>
        <v>361033.16</v>
      </c>
      <c r="N90" s="3"/>
      <c r="O90" s="3"/>
      <c r="P90" s="3"/>
      <c r="Q90" s="3"/>
    </row>
    <row r="91" spans="1:17" s="3" customFormat="1" ht="16.5">
      <c r="A91" s="90"/>
      <c r="B91" s="78"/>
      <c r="C91" s="78"/>
      <c r="D91" s="92"/>
      <c r="E91" s="78"/>
      <c r="F91" s="92"/>
      <c r="G91" s="92"/>
      <c r="H91" s="92"/>
      <c r="I91" s="92"/>
      <c r="J91" s="92"/>
      <c r="K91" s="92"/>
      <c r="L91" s="92"/>
      <c r="M91" s="112"/>
    </row>
    <row r="92" spans="1:17" s="3" customFormat="1" ht="16.5">
      <c r="A92" s="78"/>
      <c r="B92" s="78"/>
      <c r="C92" s="78"/>
      <c r="D92" s="79"/>
      <c r="E92" s="78"/>
      <c r="F92" s="92"/>
      <c r="G92" s="92"/>
      <c r="H92" s="92"/>
      <c r="I92" s="92"/>
      <c r="J92" s="92"/>
      <c r="K92" s="92"/>
      <c r="L92" s="92"/>
      <c r="M92" s="97"/>
    </row>
    <row r="93" spans="1:17" s="58" customFormat="1" ht="16.5">
      <c r="A93" s="74" t="s">
        <v>141</v>
      </c>
      <c r="B93" s="75"/>
      <c r="C93" s="75"/>
      <c r="D93" s="122"/>
      <c r="E93" s="75"/>
      <c r="F93" s="76"/>
      <c r="G93" s="76"/>
      <c r="H93" s="76"/>
      <c r="I93" s="76"/>
      <c r="J93" s="76"/>
      <c r="K93" s="76"/>
      <c r="L93" s="76"/>
      <c r="M93" s="113"/>
      <c r="N93" s="3"/>
      <c r="O93" s="3"/>
      <c r="P93" s="3"/>
      <c r="Q93" s="3"/>
    </row>
    <row r="94" spans="1:17" s="61" customFormat="1" ht="16.5">
      <c r="A94" s="123" t="s">
        <v>37</v>
      </c>
      <c r="B94" s="124" t="s">
        <v>134</v>
      </c>
      <c r="C94" s="125">
        <v>1</v>
      </c>
      <c r="D94" s="126">
        <v>2500000</v>
      </c>
      <c r="E94" s="127">
        <v>1</v>
      </c>
      <c r="F94" s="128">
        <f>C94*D94*6</f>
        <v>15000000</v>
      </c>
      <c r="G94" s="79">
        <f t="shared" ref="G94:G95" si="59">F94/750</f>
        <v>20000</v>
      </c>
      <c r="H94" s="116">
        <f>C94*D94*12</f>
        <v>30000000</v>
      </c>
      <c r="I94" s="80">
        <f>H94*1.1</f>
        <v>33000000.000000004</v>
      </c>
      <c r="J94" s="80">
        <f t="shared" ref="J94:K94" si="60">I94*1.1</f>
        <v>36300000.000000007</v>
      </c>
      <c r="K94" s="80">
        <f t="shared" si="60"/>
        <v>39930000.000000015</v>
      </c>
      <c r="L94" s="87">
        <f t="shared" ref="L94" si="61">F94+H94+I94+J94+K94</f>
        <v>154230000</v>
      </c>
      <c r="M94" s="112">
        <f t="shared" ref="M94:M95" si="62">L94/750</f>
        <v>205640</v>
      </c>
      <c r="N94" s="62"/>
    </row>
    <row r="95" spans="1:17" s="59" customFormat="1" ht="16.5">
      <c r="A95" s="129" t="s">
        <v>38</v>
      </c>
      <c r="B95" s="130"/>
      <c r="C95" s="131"/>
      <c r="D95" s="132"/>
      <c r="E95" s="131"/>
      <c r="F95" s="133">
        <f>SUM(F94:F94)</f>
        <v>15000000</v>
      </c>
      <c r="G95" s="87">
        <f t="shared" si="59"/>
        <v>20000</v>
      </c>
      <c r="H95" s="133">
        <f>SUM(H94:H94)</f>
        <v>30000000</v>
      </c>
      <c r="I95" s="133">
        <f>SUM(I94:I94)</f>
        <v>33000000.000000004</v>
      </c>
      <c r="J95" s="133">
        <f>SUM(J94:J94)</f>
        <v>36300000.000000007</v>
      </c>
      <c r="K95" s="133">
        <f>SUM(K94:K94)</f>
        <v>39930000.000000015</v>
      </c>
      <c r="L95" s="87">
        <f t="shared" ref="L95" si="63">F95+H95+I95+J95+K95</f>
        <v>154230000</v>
      </c>
      <c r="M95" s="113">
        <f t="shared" si="62"/>
        <v>205640</v>
      </c>
      <c r="N95" s="60"/>
      <c r="O95" s="60"/>
      <c r="P95" s="60"/>
      <c r="Q95" s="60"/>
    </row>
    <row r="96" spans="1:17" s="3" customFormat="1" ht="16.5">
      <c r="A96" s="123"/>
      <c r="B96" s="134"/>
      <c r="C96" s="135"/>
      <c r="D96" s="119"/>
      <c r="E96" s="135"/>
      <c r="F96" s="128"/>
      <c r="G96" s="128"/>
      <c r="H96" s="136"/>
      <c r="I96" s="136"/>
      <c r="J96" s="136"/>
      <c r="K96" s="136"/>
      <c r="L96" s="137"/>
      <c r="M96" s="97"/>
    </row>
    <row r="97" spans="1:17" s="58" customFormat="1" ht="16.5">
      <c r="A97" s="129" t="s">
        <v>142</v>
      </c>
      <c r="B97" s="138"/>
      <c r="C97" s="139"/>
      <c r="D97" s="140"/>
      <c r="E97" s="139"/>
      <c r="F97" s="141"/>
      <c r="G97" s="141"/>
      <c r="H97" s="142"/>
      <c r="I97" s="142"/>
      <c r="J97" s="142"/>
      <c r="K97" s="142"/>
      <c r="L97" s="143"/>
      <c r="M97" s="94"/>
      <c r="N97" s="3"/>
      <c r="O97" s="3"/>
      <c r="P97" s="3"/>
      <c r="Q97" s="3"/>
    </row>
    <row r="98" spans="1:17" ht="16.5">
      <c r="A98" s="144" t="s">
        <v>40</v>
      </c>
      <c r="B98" s="145" t="s">
        <v>66</v>
      </c>
      <c r="C98" s="145">
        <v>1</v>
      </c>
      <c r="D98" s="146">
        <v>1500000</v>
      </c>
      <c r="E98" s="145">
        <v>1</v>
      </c>
      <c r="F98" s="147">
        <f>C98*D98</f>
        <v>1500000</v>
      </c>
      <c r="G98" s="79">
        <f t="shared" ref="G98:G104" si="64">F98/750</f>
        <v>2000</v>
      </c>
      <c r="H98" s="83">
        <f>F98*110%</f>
        <v>1650000.0000000002</v>
      </c>
      <c r="I98" s="83">
        <f t="shared" ref="I98:J99" si="65">H98*110%</f>
        <v>1815000.0000000005</v>
      </c>
      <c r="J98" s="83">
        <f t="shared" si="65"/>
        <v>1996500.0000000007</v>
      </c>
      <c r="K98" s="148">
        <f>J98*110%</f>
        <v>2196150.0000000009</v>
      </c>
      <c r="L98" s="80">
        <f>F98+H98+I98+J98+K98</f>
        <v>9157650.0000000019</v>
      </c>
      <c r="M98" s="112">
        <f>L98/750</f>
        <v>12210.200000000003</v>
      </c>
      <c r="N98" s="3"/>
      <c r="O98" s="3"/>
      <c r="P98" s="3"/>
      <c r="Q98" s="3"/>
    </row>
    <row r="99" spans="1:17" s="61" customFormat="1" ht="16.5">
      <c r="A99" s="144" t="s">
        <v>41</v>
      </c>
      <c r="B99" s="149" t="s">
        <v>66</v>
      </c>
      <c r="C99" s="149">
        <v>4</v>
      </c>
      <c r="D99" s="119">
        <v>500000</v>
      </c>
      <c r="E99" s="145">
        <v>1</v>
      </c>
      <c r="F99" s="150">
        <f>C99*D99</f>
        <v>2000000</v>
      </c>
      <c r="G99" s="79">
        <f t="shared" si="64"/>
        <v>2666.6666666666665</v>
      </c>
      <c r="H99" s="83">
        <f>F99*110%</f>
        <v>2200000</v>
      </c>
      <c r="I99" s="83">
        <f t="shared" si="65"/>
        <v>2420000</v>
      </c>
      <c r="J99" s="83">
        <f t="shared" si="65"/>
        <v>2662000</v>
      </c>
      <c r="K99" s="83">
        <f t="shared" ref="K99" si="66">J99*110%</f>
        <v>2928200.0000000005</v>
      </c>
      <c r="L99" s="150">
        <f>SUM(L98:L98)</f>
        <v>9157650.0000000019</v>
      </c>
      <c r="M99" s="112">
        <f t="shared" ref="M99:M100" si="67">L99/750</f>
        <v>12210.200000000003</v>
      </c>
      <c r="N99" s="62"/>
    </row>
    <row r="100" spans="1:17" ht="17.25" customHeight="1">
      <c r="A100" s="151" t="s">
        <v>42</v>
      </c>
      <c r="B100" s="152" t="s">
        <v>66</v>
      </c>
      <c r="C100" s="152">
        <v>1</v>
      </c>
      <c r="D100" s="153">
        <v>2000000</v>
      </c>
      <c r="E100" s="152">
        <v>1</v>
      </c>
      <c r="F100" s="154">
        <f>SUM(F98:F99)</f>
        <v>3500000</v>
      </c>
      <c r="G100" s="155">
        <f t="shared" si="64"/>
        <v>4666.666666666667</v>
      </c>
      <c r="H100" s="156">
        <f>F100*110%</f>
        <v>3850000.0000000005</v>
      </c>
      <c r="I100" s="156">
        <f t="shared" ref="I100:J100" si="68">G100*110%</f>
        <v>5133.3333333333339</v>
      </c>
      <c r="J100" s="156">
        <f t="shared" si="68"/>
        <v>4235000.0000000009</v>
      </c>
      <c r="K100" s="156">
        <f>J100*110%</f>
        <v>4658500.0000000019</v>
      </c>
      <c r="L100" s="157">
        <f>F100+H100+I100+J100+K100</f>
        <v>16248633.333333336</v>
      </c>
      <c r="M100" s="158">
        <f t="shared" si="67"/>
        <v>21664.844444444447</v>
      </c>
      <c r="N100" s="3"/>
      <c r="O100" s="3"/>
      <c r="P100" s="3"/>
      <c r="Q100" s="3"/>
    </row>
    <row r="101" spans="1:17" s="3" customFormat="1" ht="17.25" customHeight="1">
      <c r="A101" s="159"/>
      <c r="B101" s="90"/>
      <c r="C101" s="90"/>
      <c r="D101" s="91"/>
      <c r="E101" s="90"/>
      <c r="F101" s="91"/>
      <c r="G101" s="91"/>
      <c r="H101" s="91"/>
      <c r="I101" s="91"/>
      <c r="J101" s="91"/>
      <c r="K101" s="91"/>
      <c r="L101" s="79"/>
      <c r="M101" s="97"/>
    </row>
    <row r="102" spans="1:17" ht="16.5">
      <c r="A102" s="160" t="s">
        <v>143</v>
      </c>
      <c r="B102" s="161" t="s">
        <v>66</v>
      </c>
      <c r="C102" s="162">
        <v>1</v>
      </c>
      <c r="D102" s="153">
        <v>2000000</v>
      </c>
      <c r="E102" s="162">
        <v>1</v>
      </c>
      <c r="F102" s="153">
        <f>D100*E102</f>
        <v>2000000</v>
      </c>
      <c r="G102" s="163">
        <f t="shared" si="64"/>
        <v>2666.6666666666665</v>
      </c>
      <c r="H102" s="153">
        <f>F102*110%</f>
        <v>2200000</v>
      </c>
      <c r="I102" s="153">
        <f>H102*110%</f>
        <v>2420000</v>
      </c>
      <c r="J102" s="153">
        <f>I102*110%</f>
        <v>2662000</v>
      </c>
      <c r="K102" s="153">
        <f>J102*110%</f>
        <v>2928200.0000000005</v>
      </c>
      <c r="L102" s="163">
        <f>F102+H102+I102+J102+K102</f>
        <v>12210200</v>
      </c>
      <c r="M102" s="164">
        <f>L102/750</f>
        <v>16280.266666666666</v>
      </c>
      <c r="N102" s="3"/>
      <c r="O102" s="3"/>
      <c r="P102" s="3"/>
      <c r="Q102" s="3"/>
    </row>
    <row r="103" spans="1:17" s="3" customFormat="1" ht="16.5">
      <c r="A103" s="165"/>
      <c r="B103" s="90"/>
      <c r="C103" s="120"/>
      <c r="D103" s="91"/>
      <c r="E103" s="120"/>
      <c r="F103" s="91"/>
      <c r="G103" s="91"/>
      <c r="H103" s="91"/>
      <c r="I103" s="91"/>
      <c r="J103" s="91"/>
      <c r="K103" s="91"/>
      <c r="L103" s="92"/>
      <c r="M103" s="97"/>
    </row>
    <row r="104" spans="1:17" ht="16.5">
      <c r="A104" s="166" t="s">
        <v>144</v>
      </c>
      <c r="B104" s="161" t="s">
        <v>66</v>
      </c>
      <c r="C104" s="162">
        <v>1</v>
      </c>
      <c r="D104" s="153">
        <v>2000000</v>
      </c>
      <c r="E104" s="162">
        <v>1</v>
      </c>
      <c r="F104" s="153">
        <f>D102*E104</f>
        <v>2000000</v>
      </c>
      <c r="G104" s="163">
        <f t="shared" si="64"/>
        <v>2666.6666666666665</v>
      </c>
      <c r="H104" s="153">
        <f>F104*110%</f>
        <v>2200000</v>
      </c>
      <c r="I104" s="153">
        <f t="shared" ref="I104:K104" si="69">H104*110%</f>
        <v>2420000</v>
      </c>
      <c r="J104" s="153">
        <f t="shared" si="69"/>
        <v>2662000</v>
      </c>
      <c r="K104" s="153">
        <f t="shared" si="69"/>
        <v>2928200.0000000005</v>
      </c>
      <c r="L104" s="163">
        <f>F104+H104+I104+J104+K104</f>
        <v>12210200</v>
      </c>
      <c r="M104" s="164">
        <f>L104/750</f>
        <v>16280.266666666666</v>
      </c>
      <c r="N104" s="3"/>
      <c r="O104" s="3"/>
      <c r="P104" s="3"/>
      <c r="Q104" s="3"/>
    </row>
    <row r="105" spans="1:17" s="3" customFormat="1" ht="16.5">
      <c r="A105" s="167"/>
      <c r="B105" s="90"/>
      <c r="C105" s="120"/>
      <c r="D105" s="91"/>
      <c r="E105" s="120"/>
      <c r="F105" s="91"/>
      <c r="G105" s="91"/>
      <c r="H105" s="91"/>
      <c r="I105" s="91"/>
      <c r="J105" s="91"/>
      <c r="K105" s="91"/>
      <c r="L105" s="92"/>
      <c r="M105" s="97"/>
    </row>
    <row r="106" spans="1:17" ht="16.5">
      <c r="A106" s="168" t="s">
        <v>145</v>
      </c>
      <c r="B106" s="168"/>
      <c r="C106" s="168"/>
      <c r="D106" s="169"/>
      <c r="E106" s="170"/>
      <c r="F106" s="171">
        <f t="shared" ref="F106:K106" si="70">F18+F35+F48+F56+F62+F70+F79+F90+F95+F100+F102+F104+F40</f>
        <v>1050153050</v>
      </c>
      <c r="G106" s="171">
        <f t="shared" si="70"/>
        <v>1400204.0666666671</v>
      </c>
      <c r="H106" s="171">
        <f t="shared" si="70"/>
        <v>236539200</v>
      </c>
      <c r="I106" s="171">
        <f t="shared" si="70"/>
        <v>234209653.33333334</v>
      </c>
      <c r="J106" s="171">
        <f t="shared" si="70"/>
        <v>283610932.00000006</v>
      </c>
      <c r="K106" s="171">
        <f t="shared" si="70"/>
        <v>288043065.20000011</v>
      </c>
      <c r="L106" s="163">
        <f>F106+H106+I106+J106+K106</f>
        <v>2092555900.5333333</v>
      </c>
      <c r="M106" s="163">
        <f>M18+M35+M48+M56+M62+M70+M79+M90+M95+M100+M102+M104</f>
        <v>2643407.1400444442</v>
      </c>
      <c r="N106" s="3"/>
      <c r="O106" s="3"/>
      <c r="P106" s="3"/>
      <c r="Q106" s="3"/>
    </row>
    <row r="107" spans="1:17" ht="30.75" customHeight="1">
      <c r="A107" s="172" t="s">
        <v>146</v>
      </c>
      <c r="B107" s="173"/>
      <c r="C107" s="169"/>
      <c r="D107" s="174"/>
      <c r="E107" s="169"/>
      <c r="F107" s="175">
        <f>F106/750</f>
        <v>1400204.0666666667</v>
      </c>
      <c r="G107" s="175">
        <f>G18+G35+G48+G56+G62+G70+G79+G90+G95+G100+G102+G104</f>
        <v>1253536.672666667</v>
      </c>
      <c r="H107" s="175">
        <f t="shared" ref="H107:L107" si="71">H106/750</f>
        <v>315385.59999999998</v>
      </c>
      <c r="I107" s="175">
        <f t="shared" si="71"/>
        <v>312279.53777777782</v>
      </c>
      <c r="J107" s="175">
        <f t="shared" si="71"/>
        <v>378147.90933333343</v>
      </c>
      <c r="K107" s="175">
        <f t="shared" si="71"/>
        <v>384057.4202666668</v>
      </c>
      <c r="L107" s="175">
        <f t="shared" si="71"/>
        <v>2790074.5340444446</v>
      </c>
      <c r="M107" s="163">
        <f>M19+M36+M49+M57+M63+M71+M80+M92+M96+M101+M103+M105</f>
        <v>0</v>
      </c>
      <c r="N107" s="3"/>
      <c r="O107" s="3"/>
      <c r="P107" s="3"/>
      <c r="Q107" s="3"/>
    </row>
    <row r="108" spans="1:17" ht="16.5">
      <c r="A108" s="174"/>
      <c r="B108" s="176"/>
      <c r="C108" s="176"/>
      <c r="D108" s="176"/>
      <c r="E108" s="176"/>
      <c r="F108" s="176"/>
      <c r="G108" s="176"/>
      <c r="H108" s="176"/>
      <c r="I108" s="177"/>
      <c r="J108" s="176"/>
      <c r="K108" s="176"/>
      <c r="L108" s="176"/>
      <c r="M108" s="176"/>
    </row>
  </sheetData>
  <mergeCells count="1">
    <mergeCell ref="A3:F3"/>
  </mergeCells>
  <pageMargins left="0.7" right="0.7" top="0.75" bottom="0.75" header="0.3" footer="0.3"/>
  <pageSetup paperSize="9" scale="70" orientation="landscape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7"/>
  <sheetViews>
    <sheetView workbookViewId="0">
      <pane ySplit="3" topLeftCell="A19" activePane="bottomLeft" state="frozen"/>
      <selection pane="bottomLeft" activeCell="J29" sqref="J29:J30"/>
    </sheetView>
  </sheetViews>
  <sheetFormatPr defaultRowHeight="15"/>
  <cols>
    <col min="1" max="1" width="28.28515625" customWidth="1"/>
    <col min="2" max="2" width="13" customWidth="1"/>
    <col min="3" max="3" width="9.7109375" customWidth="1"/>
    <col min="4" max="4" width="14.28515625" bestFit="1" customWidth="1"/>
    <col min="5" max="5" width="14.85546875" customWidth="1"/>
    <col min="6" max="6" width="14.28515625" bestFit="1" customWidth="1"/>
    <col min="7" max="7" width="15.42578125" customWidth="1"/>
    <col min="8" max="8" width="16.85546875" bestFit="1" customWidth="1"/>
    <col min="10" max="10" width="15.28515625" bestFit="1" customWidth="1"/>
    <col min="11" max="11" width="17.7109375" customWidth="1"/>
    <col min="12" max="12" width="15.28515625" bestFit="1" customWidth="1"/>
  </cols>
  <sheetData>
    <row r="1" spans="1:12" ht="18">
      <c r="A1" s="5" t="s">
        <v>77</v>
      </c>
      <c r="B1" s="6"/>
      <c r="C1" s="6"/>
      <c r="D1" s="6"/>
      <c r="E1" s="56"/>
      <c r="F1" s="6"/>
      <c r="G1" s="6"/>
      <c r="H1" s="6"/>
    </row>
    <row r="2" spans="1:12">
      <c r="A2" s="7"/>
      <c r="B2" s="7"/>
      <c r="C2" s="7"/>
      <c r="D2" s="8" t="s">
        <v>46</v>
      </c>
      <c r="E2" s="9" t="s">
        <v>47</v>
      </c>
      <c r="F2" s="8" t="s">
        <v>48</v>
      </c>
      <c r="G2" s="8" t="s">
        <v>49</v>
      </c>
      <c r="H2" s="8" t="s">
        <v>50</v>
      </c>
    </row>
    <row r="3" spans="1:12" ht="26.25">
      <c r="A3" s="10" t="s">
        <v>51</v>
      </c>
      <c r="B3" s="11" t="s">
        <v>52</v>
      </c>
      <c r="C3" s="12" t="s">
        <v>53</v>
      </c>
      <c r="D3" s="11" t="s">
        <v>73</v>
      </c>
      <c r="E3" s="11" t="s">
        <v>73</v>
      </c>
      <c r="F3" s="11" t="s">
        <v>73</v>
      </c>
      <c r="G3" s="11" t="s">
        <v>73</v>
      </c>
      <c r="H3" s="11" t="s">
        <v>73</v>
      </c>
    </row>
    <row r="4" spans="1:12">
      <c r="A4" s="13" t="s">
        <v>153</v>
      </c>
      <c r="B4" s="179">
        <v>500</v>
      </c>
      <c r="C4" s="14">
        <v>5000</v>
      </c>
      <c r="D4" s="15">
        <v>0</v>
      </c>
      <c r="E4" s="14">
        <f>B4*C4*6*50</f>
        <v>750000000</v>
      </c>
      <c r="F4" s="15">
        <f>E4*1.1</f>
        <v>825000000.00000012</v>
      </c>
      <c r="G4" s="15">
        <f t="shared" ref="G4:H4" si="0">F4*1.1</f>
        <v>907500000.00000024</v>
      </c>
      <c r="H4" s="15">
        <f t="shared" si="0"/>
        <v>998250000.00000036</v>
      </c>
      <c r="J4" s="1"/>
      <c r="K4" s="4"/>
      <c r="L4" s="4"/>
    </row>
    <row r="5" spans="1:12">
      <c r="A5" s="13"/>
      <c r="B5" s="179"/>
      <c r="C5" s="14"/>
      <c r="D5" s="15"/>
      <c r="E5" s="14"/>
      <c r="F5" s="15"/>
      <c r="G5" s="15"/>
      <c r="H5" s="15"/>
      <c r="J5" s="1"/>
      <c r="K5" s="4"/>
      <c r="L5" s="4"/>
    </row>
    <row r="6" spans="1:12">
      <c r="A6" s="10" t="s">
        <v>54</v>
      </c>
      <c r="B6" s="16"/>
      <c r="C6" s="16"/>
      <c r="D6" s="17">
        <f>SUM(D4:D5)</f>
        <v>0</v>
      </c>
      <c r="E6" s="17">
        <f>SUM(E4:E5)</f>
        <v>750000000</v>
      </c>
      <c r="F6" s="17">
        <f>SUM(F4:F5)</f>
        <v>825000000.00000012</v>
      </c>
      <c r="G6" s="17">
        <f>SUM(G4:G5)</f>
        <v>907500000.00000024</v>
      </c>
      <c r="H6" s="17">
        <f>SUM(H4:H5)</f>
        <v>998250000.00000036</v>
      </c>
    </row>
    <row r="7" spans="1:12">
      <c r="A7" s="2"/>
      <c r="B7" s="18"/>
      <c r="C7" s="18"/>
      <c r="D7" s="18"/>
      <c r="E7" s="14"/>
      <c r="F7" s="13"/>
      <c r="G7" s="18"/>
      <c r="H7" s="18"/>
    </row>
    <row r="8" spans="1:12">
      <c r="A8" s="19" t="s">
        <v>55</v>
      </c>
      <c r="B8" s="18"/>
      <c r="C8" s="13"/>
      <c r="D8" s="18"/>
      <c r="E8" s="14"/>
      <c r="F8" s="18"/>
      <c r="G8" s="18"/>
      <c r="H8" s="18"/>
    </row>
    <row r="9" spans="1:12">
      <c r="A9" s="20" t="s">
        <v>23</v>
      </c>
      <c r="B9" s="20"/>
      <c r="C9" s="20"/>
      <c r="D9" s="31">
        <f>Budget!F70</f>
        <v>75348000</v>
      </c>
      <c r="E9" s="24">
        <f>Budget!H70</f>
        <v>94819200</v>
      </c>
      <c r="F9" s="24">
        <f>Budget!I70</f>
        <v>82547520</v>
      </c>
      <c r="G9" s="24">
        <f>Budget!J70</f>
        <v>112553232.00000001</v>
      </c>
      <c r="H9" s="24">
        <f>Budget!K70</f>
        <v>99879595.200000018</v>
      </c>
    </row>
    <row r="10" spans="1:12">
      <c r="A10" s="13" t="str">
        <f>Budget!A66</f>
        <v>Developing Casava Farm</v>
      </c>
      <c r="B10" s="18"/>
      <c r="C10" s="18"/>
      <c r="D10" s="14">
        <f>Budget!F66</f>
        <v>24798000</v>
      </c>
      <c r="E10" s="14">
        <f>Budget!H66</f>
        <v>9919200</v>
      </c>
      <c r="F10" s="14">
        <f>Budget!I66</f>
        <v>10911120</v>
      </c>
      <c r="G10" s="14">
        <f>Budget!J66</f>
        <v>12002232.000000002</v>
      </c>
      <c r="H10" s="14">
        <f>Budget!K66</f>
        <v>13202455.200000003</v>
      </c>
    </row>
    <row r="11" spans="1:12">
      <c r="A11" s="21" t="s">
        <v>56</v>
      </c>
      <c r="B11" s="21"/>
      <c r="C11" s="21"/>
      <c r="D11" s="22">
        <f>SUM(D9:D10)</f>
        <v>100146000</v>
      </c>
      <c r="E11" s="22">
        <f>SUM(E9:E10)</f>
        <v>104738400</v>
      </c>
      <c r="F11" s="22">
        <f>SUM(F9:F10)</f>
        <v>93458640</v>
      </c>
      <c r="G11" s="22">
        <f>SUM(G9:G10)</f>
        <v>124555464.00000001</v>
      </c>
      <c r="H11" s="22">
        <f>SUM(H9:H10)</f>
        <v>113082050.40000002</v>
      </c>
    </row>
    <row r="12" spans="1:12">
      <c r="A12" s="19"/>
      <c r="B12" s="18"/>
      <c r="C12" s="18"/>
      <c r="D12" s="18"/>
      <c r="E12" s="14"/>
      <c r="F12" s="18"/>
      <c r="G12" s="18"/>
      <c r="H12" s="18"/>
    </row>
    <row r="13" spans="1:12">
      <c r="A13" s="10" t="s">
        <v>57</v>
      </c>
      <c r="B13" s="16"/>
      <c r="C13" s="16"/>
      <c r="D13" s="17">
        <f>D6-D11</f>
        <v>-100146000</v>
      </c>
      <c r="E13" s="17">
        <f>E6-E11</f>
        <v>645261600</v>
      </c>
      <c r="F13" s="17">
        <f>F6-F11</f>
        <v>731541360.00000012</v>
      </c>
      <c r="G13" s="17">
        <f>G6-G11</f>
        <v>782944536.00000024</v>
      </c>
      <c r="H13" s="17">
        <f>H6-H11</f>
        <v>885167949.60000038</v>
      </c>
    </row>
    <row r="14" spans="1:12">
      <c r="A14" s="23"/>
      <c r="B14" s="23"/>
      <c r="C14" s="23"/>
      <c r="D14" s="23"/>
      <c r="E14" s="24"/>
      <c r="F14" s="23"/>
      <c r="G14" s="23"/>
      <c r="H14" s="23"/>
    </row>
    <row r="15" spans="1:12">
      <c r="A15" s="25" t="s">
        <v>78</v>
      </c>
      <c r="B15" s="26"/>
      <c r="C15" s="26"/>
      <c r="D15" s="27"/>
      <c r="E15" s="27"/>
      <c r="F15" s="27"/>
      <c r="G15" s="27"/>
      <c r="H15" s="27"/>
    </row>
    <row r="16" spans="1:12">
      <c r="A16" s="20" t="s">
        <v>8</v>
      </c>
      <c r="B16" s="20"/>
      <c r="C16" s="20"/>
      <c r="D16" s="28">
        <f>Budget!F18</f>
        <v>33900000</v>
      </c>
      <c r="E16" s="29">
        <f>Budget!H18</f>
        <v>53400000</v>
      </c>
      <c r="F16" s="29">
        <f>Budget!I18</f>
        <v>58740000.000000007</v>
      </c>
      <c r="G16" s="29">
        <f>Budget!J18</f>
        <v>64614000.000000015</v>
      </c>
      <c r="H16" s="29">
        <f>Budget!K18</f>
        <v>71075400.000000015</v>
      </c>
    </row>
    <row r="17" spans="1:11" ht="14.25" customHeight="1">
      <c r="A17" s="30" t="s">
        <v>71</v>
      </c>
      <c r="B17" s="20"/>
      <c r="C17" s="20"/>
      <c r="D17" s="28">
        <f>Budget!F35+Budget!F40+Budget!F48+Budget!F56</f>
        <v>656475545.5</v>
      </c>
      <c r="E17" s="28"/>
      <c r="F17" s="28"/>
      <c r="G17" s="28"/>
      <c r="H17" s="28"/>
    </row>
    <row r="18" spans="1:11" ht="14.25" customHeight="1">
      <c r="A18" s="30" t="s">
        <v>21</v>
      </c>
      <c r="B18" s="20"/>
      <c r="C18" s="20"/>
      <c r="D18" s="29">
        <f>Budget!F61</f>
        <v>33165000</v>
      </c>
      <c r="E18" s="29">
        <f>Budget!H61</f>
        <v>0</v>
      </c>
      <c r="F18" s="29">
        <f>Budget!I61</f>
        <v>0</v>
      </c>
      <c r="G18" s="29">
        <f>Budget!J61</f>
        <v>0</v>
      </c>
      <c r="H18" s="29">
        <f>Budget!K61</f>
        <v>0</v>
      </c>
    </row>
    <row r="19" spans="1:11">
      <c r="A19" s="20" t="s">
        <v>26</v>
      </c>
      <c r="B19" s="20"/>
      <c r="C19" s="20"/>
      <c r="D19" s="28">
        <f>Budget!F79</f>
        <v>169864504.5</v>
      </c>
      <c r="E19" s="28"/>
      <c r="F19" s="28"/>
      <c r="G19" s="28"/>
      <c r="H19" s="28"/>
    </row>
    <row r="20" spans="1:11" ht="14.25" customHeight="1">
      <c r="A20" s="30" t="s">
        <v>27</v>
      </c>
      <c r="B20" s="20"/>
      <c r="C20" s="20"/>
      <c r="D20" s="29">
        <f>Budget!F89</f>
        <v>6000000</v>
      </c>
      <c r="E20" s="29">
        <f>Budget!H89</f>
        <v>6600000.0000000009</v>
      </c>
      <c r="F20" s="29">
        <f>Budget!I89</f>
        <v>7260000.0000000019</v>
      </c>
      <c r="G20" s="29">
        <f>Budget!J89</f>
        <v>7986000.0000000028</v>
      </c>
      <c r="H20" s="29">
        <f>Budget!K89</f>
        <v>8784600.0000000037</v>
      </c>
    </row>
    <row r="21" spans="1:11">
      <c r="A21" s="20" t="s">
        <v>36</v>
      </c>
      <c r="B21" s="20"/>
      <c r="C21" s="20"/>
      <c r="D21" s="29">
        <f>Budget!F94</f>
        <v>15000000</v>
      </c>
      <c r="E21" s="29">
        <f>Budget!H94</f>
        <v>30000000</v>
      </c>
      <c r="F21" s="29">
        <f>Budget!I94</f>
        <v>33000000.000000004</v>
      </c>
      <c r="G21" s="29">
        <f>Budget!J94</f>
        <v>36300000.000000007</v>
      </c>
      <c r="H21" s="29">
        <f>Budget!K94</f>
        <v>39930000.000000015</v>
      </c>
    </row>
    <row r="22" spans="1:11">
      <c r="A22" s="32" t="s">
        <v>39</v>
      </c>
      <c r="B22" s="20"/>
      <c r="C22" s="20"/>
      <c r="D22" s="29">
        <f>Budget!F99</f>
        <v>2000000</v>
      </c>
      <c r="E22" s="29">
        <f>Budget!H99</f>
        <v>2200000</v>
      </c>
      <c r="F22" s="29">
        <f>Budget!I99</f>
        <v>2420000</v>
      </c>
      <c r="G22" s="29">
        <f>Budget!J99</f>
        <v>2662000</v>
      </c>
      <c r="H22" s="29">
        <f>Budget!K99</f>
        <v>2928200.0000000005</v>
      </c>
    </row>
    <row r="23" spans="1:11" ht="17.25" customHeight="1">
      <c r="A23" s="33" t="s">
        <v>58</v>
      </c>
      <c r="B23" s="20"/>
      <c r="C23" s="20"/>
      <c r="D23" s="31">
        <f>Budget!F100</f>
        <v>3500000</v>
      </c>
      <c r="E23" s="31">
        <f>Budget!H100</f>
        <v>3850000.0000000005</v>
      </c>
      <c r="F23" s="31">
        <f>Budget!I100</f>
        <v>5133.3333333333339</v>
      </c>
      <c r="G23" s="31">
        <f>Budget!J100</f>
        <v>4235000.0000000009</v>
      </c>
      <c r="H23" s="31">
        <f>Budget!K100</f>
        <v>4658500.0000000019</v>
      </c>
    </row>
    <row r="24" spans="1:11" ht="18.75" customHeight="1">
      <c r="A24" s="34" t="s">
        <v>43</v>
      </c>
      <c r="B24" s="20"/>
      <c r="C24" s="20"/>
      <c r="D24" s="31">
        <f>Budget!F102</f>
        <v>2000000</v>
      </c>
      <c r="E24" s="31">
        <f>Budget!H102</f>
        <v>2200000</v>
      </c>
      <c r="F24" s="31">
        <f>Budget!I102</f>
        <v>2420000</v>
      </c>
      <c r="G24" s="31">
        <f>Budget!J102</f>
        <v>2662000</v>
      </c>
      <c r="H24" s="31">
        <f>Budget!K102</f>
        <v>2928200.0000000005</v>
      </c>
    </row>
    <row r="25" spans="1:11">
      <c r="A25" s="23"/>
      <c r="B25" s="24"/>
      <c r="C25" s="23"/>
      <c r="D25" s="29"/>
      <c r="E25" s="29"/>
      <c r="F25" s="29"/>
      <c r="G25" s="23"/>
      <c r="H25" s="23"/>
    </row>
    <row r="26" spans="1:11">
      <c r="A26" s="10" t="s">
        <v>59</v>
      </c>
      <c r="B26" s="10"/>
      <c r="C26" s="10"/>
      <c r="D26" s="35">
        <f>SUM(D16:D25)</f>
        <v>921905050</v>
      </c>
      <c r="E26" s="36">
        <f>SUM(E16:E25)</f>
        <v>98250000</v>
      </c>
      <c r="F26" s="36">
        <f>SUM(F16:F25)</f>
        <v>103845133.33333334</v>
      </c>
      <c r="G26" s="36">
        <f>SUM(G16:G25)</f>
        <v>118459000.00000003</v>
      </c>
      <c r="H26" s="36">
        <f>SUM(H16:H25)</f>
        <v>130304900.00000003</v>
      </c>
    </row>
    <row r="27" spans="1:11" ht="27.75" customHeight="1">
      <c r="A27" s="37" t="s">
        <v>60</v>
      </c>
      <c r="B27" s="26"/>
      <c r="C27" s="26"/>
      <c r="D27" s="38">
        <f>D13-D26</f>
        <v>-1022051050</v>
      </c>
      <c r="E27" s="38">
        <f>E13-E26</f>
        <v>547011600</v>
      </c>
      <c r="F27" s="38">
        <f>F13-F26</f>
        <v>627696226.66666675</v>
      </c>
      <c r="G27" s="38">
        <f>G13-G26</f>
        <v>664485536.00000024</v>
      </c>
      <c r="H27" s="38">
        <f>H13-H26</f>
        <v>754863049.60000038</v>
      </c>
    </row>
    <row r="28" spans="1:11" ht="27.75" customHeight="1">
      <c r="A28" s="37" t="s">
        <v>61</v>
      </c>
      <c r="B28" s="26"/>
      <c r="C28" s="26"/>
      <c r="D28" s="38">
        <f t="shared" ref="D28:H28" si="1">D27*16.5/100</f>
        <v>-168638423.25</v>
      </c>
      <c r="E28" s="38">
        <f t="shared" si="1"/>
        <v>90256914</v>
      </c>
      <c r="F28" s="38">
        <f t="shared" si="1"/>
        <v>103569877.40000002</v>
      </c>
      <c r="G28" s="38">
        <f t="shared" si="1"/>
        <v>109640113.44000004</v>
      </c>
      <c r="H28" s="38">
        <f t="shared" si="1"/>
        <v>124552403.18400006</v>
      </c>
    </row>
    <row r="29" spans="1:11">
      <c r="A29" s="37"/>
      <c r="B29" s="26"/>
      <c r="C29" s="26"/>
      <c r="D29" s="26"/>
      <c r="E29" s="27"/>
      <c r="F29" s="26"/>
      <c r="G29" s="26"/>
      <c r="H29" s="26"/>
    </row>
    <row r="30" spans="1:11">
      <c r="A30" s="39" t="s">
        <v>72</v>
      </c>
      <c r="B30" s="40"/>
      <c r="C30" s="40"/>
      <c r="D30" s="41">
        <f t="shared" ref="D30:H30" si="2">D27-D28</f>
        <v>-853412626.75</v>
      </c>
      <c r="E30" s="42">
        <f t="shared" si="2"/>
        <v>456754686</v>
      </c>
      <c r="F30" s="41">
        <f t="shared" si="2"/>
        <v>524126349.26666671</v>
      </c>
      <c r="G30" s="41">
        <f t="shared" si="2"/>
        <v>554845422.56000018</v>
      </c>
      <c r="H30" s="41">
        <f t="shared" si="2"/>
        <v>630310646.41600037</v>
      </c>
      <c r="K30" s="1"/>
    </row>
    <row r="31" spans="1:11">
      <c r="A31" s="39" t="s">
        <v>74</v>
      </c>
      <c r="B31" s="40"/>
      <c r="C31" s="40"/>
      <c r="D31" s="41">
        <f>D27-D28</f>
        <v>-853412626.75</v>
      </c>
      <c r="E31" s="41">
        <f t="shared" ref="E31:H31" si="3">E27-E28</f>
        <v>456754686</v>
      </c>
      <c r="F31" s="41">
        <f t="shared" si="3"/>
        <v>524126349.26666671</v>
      </c>
      <c r="G31" s="41">
        <f t="shared" si="3"/>
        <v>554845422.56000018</v>
      </c>
      <c r="H31" s="41">
        <f t="shared" si="3"/>
        <v>630310646.41600037</v>
      </c>
      <c r="K31" s="4"/>
    </row>
    <row r="32" spans="1:11">
      <c r="A32" s="43" t="s">
        <v>62</v>
      </c>
      <c r="B32" s="44"/>
      <c r="C32" s="44"/>
      <c r="D32" s="57">
        <f>D31/$B$34</f>
        <v>-1137883.5023333333</v>
      </c>
      <c r="E32" s="45">
        <f>E31/$B$34</f>
        <v>609006.24800000002</v>
      </c>
      <c r="F32" s="45">
        <f>F31/$B$34</f>
        <v>698835.13235555566</v>
      </c>
      <c r="G32" s="45">
        <f>G31/$B$34</f>
        <v>739793.89674666687</v>
      </c>
      <c r="H32" s="45">
        <f>H31/$B$34</f>
        <v>840414.19522133376</v>
      </c>
      <c r="K32" s="1"/>
    </row>
    <row r="33" spans="1:11">
      <c r="A33" s="46"/>
      <c r="B33" s="47"/>
      <c r="C33" s="47"/>
      <c r="D33" s="48"/>
      <c r="E33" s="49"/>
      <c r="F33" s="48"/>
      <c r="G33" s="48"/>
      <c r="H33" s="48"/>
      <c r="K33" s="4"/>
    </row>
    <row r="34" spans="1:11">
      <c r="A34" s="50" t="s">
        <v>79</v>
      </c>
      <c r="B34" s="51">
        <v>750</v>
      </c>
      <c r="C34" s="47"/>
      <c r="D34" s="52"/>
      <c r="E34" s="49"/>
      <c r="F34" s="48"/>
      <c r="G34" s="48"/>
      <c r="H34" s="48"/>
    </row>
    <row r="35" spans="1:11">
      <c r="A35" s="53"/>
      <c r="B35" s="53"/>
      <c r="C35" s="47"/>
      <c r="D35" s="48"/>
      <c r="E35" s="49"/>
      <c r="F35" s="48"/>
      <c r="G35" s="48"/>
      <c r="H35" s="48"/>
    </row>
    <row r="36" spans="1:11">
      <c r="A36" s="54" t="s">
        <v>63</v>
      </c>
      <c r="B36" s="2"/>
      <c r="C36" s="2"/>
      <c r="D36" s="55"/>
      <c r="E36" s="52"/>
      <c r="F36" s="52"/>
      <c r="G36" s="52"/>
      <c r="H36" s="52"/>
    </row>
    <row r="37" spans="1:11">
      <c r="A37" s="2"/>
      <c r="B37" s="2"/>
      <c r="C37" s="2"/>
      <c r="D37" s="2"/>
      <c r="E37" s="2"/>
      <c r="F37" s="2"/>
      <c r="G37" s="2"/>
      <c r="H37" s="2"/>
    </row>
  </sheetData>
  <pageMargins left="0.7" right="0.7" top="0.75" bottom="0.75" header="0.3" footer="0.3"/>
  <pageSetup paperSize="9" orientation="landscape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I20"/>
  <sheetViews>
    <sheetView tabSelected="1" topLeftCell="A7" workbookViewId="0">
      <selection activeCell="I12" sqref="I12"/>
    </sheetView>
  </sheetViews>
  <sheetFormatPr defaultRowHeight="15"/>
  <cols>
    <col min="2" max="2" width="10.7109375" customWidth="1"/>
    <col min="3" max="3" width="13.28515625" bestFit="1" customWidth="1"/>
    <col min="4" max="4" width="16.85546875" style="1" bestFit="1" customWidth="1"/>
    <col min="5" max="5" width="13.7109375" customWidth="1"/>
    <col min="6" max="6" width="15.28515625" customWidth="1"/>
    <col min="7" max="7" width="13.28515625" bestFit="1" customWidth="1"/>
    <col min="8" max="8" width="16.85546875" bestFit="1" customWidth="1"/>
    <col min="9" max="9" width="45.42578125" customWidth="1"/>
  </cols>
  <sheetData>
    <row r="1" spans="2:9">
      <c r="C1" t="s">
        <v>154</v>
      </c>
      <c r="D1" s="1" t="s">
        <v>155</v>
      </c>
    </row>
    <row r="2" spans="2:9">
      <c r="B2" t="s">
        <v>156</v>
      </c>
      <c r="C2" s="4">
        <f>Budget!F107</f>
        <v>1400204.0666666667</v>
      </c>
      <c r="D2" s="1">
        <f>C2*750</f>
        <v>1050153050</v>
      </c>
    </row>
    <row r="3" spans="2:9">
      <c r="B3" t="s">
        <v>157</v>
      </c>
      <c r="C3" s="4">
        <f>C2*7/100</f>
        <v>98014.284666666674</v>
      </c>
      <c r="D3" s="1">
        <f>C3*750</f>
        <v>73510713.5</v>
      </c>
    </row>
    <row r="4" spans="2:9" s="180" customFormat="1">
      <c r="B4" s="180" t="s">
        <v>158</v>
      </c>
      <c r="C4" s="181">
        <f>SUM(C2:C3)</f>
        <v>1498218.3513333334</v>
      </c>
      <c r="D4" s="182">
        <f>SUM(D2:D3)</f>
        <v>1123663763.5</v>
      </c>
    </row>
    <row r="5" spans="2:9" s="180" customFormat="1">
      <c r="C5" s="181"/>
      <c r="D5" s="182"/>
    </row>
    <row r="6" spans="2:9" s="180" customFormat="1">
      <c r="B6" s="180" t="s">
        <v>159</v>
      </c>
      <c r="C6" s="181"/>
      <c r="D6" s="182"/>
    </row>
    <row r="7" spans="2:9" s="180" customFormat="1" ht="15.75" thickBot="1">
      <c r="C7" s="181"/>
      <c r="D7" s="182"/>
    </row>
    <row r="8" spans="2:9" s="180" customFormat="1">
      <c r="B8" s="183" t="s">
        <v>160</v>
      </c>
      <c r="C8" s="184" t="s">
        <v>161</v>
      </c>
      <c r="D8" s="185"/>
      <c r="E8" s="186" t="s">
        <v>162</v>
      </c>
      <c r="F8" s="186"/>
      <c r="G8" s="187" t="s">
        <v>163</v>
      </c>
      <c r="H8" s="187"/>
      <c r="I8" s="196" t="s">
        <v>164</v>
      </c>
    </row>
    <row r="9" spans="2:9" s="180" customFormat="1">
      <c r="B9" s="197"/>
      <c r="C9" s="198" t="s">
        <v>154</v>
      </c>
      <c r="D9" s="199" t="s">
        <v>155</v>
      </c>
      <c r="E9" s="200" t="s">
        <v>154</v>
      </c>
      <c r="F9" s="200" t="s">
        <v>155</v>
      </c>
      <c r="G9" s="201" t="s">
        <v>154</v>
      </c>
      <c r="H9" s="201" t="s">
        <v>155</v>
      </c>
      <c r="I9" s="202"/>
    </row>
    <row r="10" spans="2:9">
      <c r="B10" s="188">
        <v>2019</v>
      </c>
      <c r="C10" s="189">
        <v>0</v>
      </c>
      <c r="D10" s="190">
        <v>0</v>
      </c>
      <c r="E10" s="191">
        <v>0</v>
      </c>
      <c r="F10" s="191">
        <f t="shared" ref="F10:F20" si="0">E10*750</f>
        <v>0</v>
      </c>
      <c r="G10" s="192">
        <f>C4</f>
        <v>1498218.3513333334</v>
      </c>
      <c r="H10" s="192">
        <f>G10*750</f>
        <v>1123663763.5</v>
      </c>
      <c r="I10" s="203" t="s">
        <v>166</v>
      </c>
    </row>
    <row r="11" spans="2:9">
      <c r="B11" s="188">
        <v>2020</v>
      </c>
      <c r="C11" s="189">
        <v>0</v>
      </c>
      <c r="D11" s="190">
        <v>0</v>
      </c>
      <c r="E11" s="191">
        <v>0</v>
      </c>
      <c r="F11" s="191">
        <f t="shared" si="0"/>
        <v>0</v>
      </c>
      <c r="G11" s="192">
        <f>G10-E11</f>
        <v>1498218.3513333334</v>
      </c>
      <c r="H11" s="192">
        <f t="shared" ref="H11:H20" si="1">G11*750</f>
        <v>1123663763.5</v>
      </c>
      <c r="I11" s="203" t="s">
        <v>167</v>
      </c>
    </row>
    <row r="12" spans="2:9">
      <c r="B12" s="188">
        <v>2021</v>
      </c>
      <c r="C12" s="189">
        <f>'P &amp; L statement '!E32</f>
        <v>609006.24800000002</v>
      </c>
      <c r="D12" s="190">
        <f t="shared" ref="D12:D20" si="2">C12*750</f>
        <v>456754686</v>
      </c>
      <c r="E12" s="191">
        <f>31/100*C12</f>
        <v>188791.93687999999</v>
      </c>
      <c r="F12" s="191">
        <f t="shared" si="0"/>
        <v>141593952.66</v>
      </c>
      <c r="G12" s="192">
        <f t="shared" ref="G12:G19" si="3">G11-E12</f>
        <v>1309426.4144533335</v>
      </c>
      <c r="H12" s="192">
        <f t="shared" si="1"/>
        <v>982069810.84000015</v>
      </c>
      <c r="I12" s="203"/>
    </row>
    <row r="13" spans="2:9">
      <c r="B13" s="188">
        <v>2022</v>
      </c>
      <c r="C13" s="189">
        <f>'P &amp; L statement '!F32</f>
        <v>698835.13235555566</v>
      </c>
      <c r="D13" s="190">
        <f t="shared" si="2"/>
        <v>524126349.26666677</v>
      </c>
      <c r="E13" s="191">
        <f t="shared" ref="E13:E18" si="4">30/100*C13</f>
        <v>209650.53970666669</v>
      </c>
      <c r="F13" s="191">
        <f t="shared" si="0"/>
        <v>157237904.78000003</v>
      </c>
      <c r="G13" s="192">
        <f t="shared" si="3"/>
        <v>1099775.8747466668</v>
      </c>
      <c r="H13" s="192">
        <f t="shared" si="1"/>
        <v>824831906.06000006</v>
      </c>
      <c r="I13" s="203"/>
    </row>
    <row r="14" spans="2:9">
      <c r="B14" s="188">
        <v>2023</v>
      </c>
      <c r="C14" s="189">
        <f>'P &amp; L statement '!G32</f>
        <v>739793.89674666687</v>
      </c>
      <c r="D14" s="190">
        <f t="shared" si="2"/>
        <v>554845422.56000018</v>
      </c>
      <c r="E14" s="191">
        <f t="shared" si="4"/>
        <v>221938.16902400006</v>
      </c>
      <c r="F14" s="191">
        <f t="shared" si="0"/>
        <v>166453626.76800004</v>
      </c>
      <c r="G14" s="192">
        <f t="shared" si="3"/>
        <v>877837.70572266669</v>
      </c>
      <c r="H14" s="192">
        <f t="shared" si="1"/>
        <v>658378279.29200006</v>
      </c>
      <c r="I14" s="203"/>
    </row>
    <row r="15" spans="2:9">
      <c r="B15" s="188">
        <v>2024</v>
      </c>
      <c r="C15" s="189">
        <f>'P &amp; L statement '!H32</f>
        <v>840414.19522133376</v>
      </c>
      <c r="D15" s="190">
        <f t="shared" si="2"/>
        <v>630310646.41600037</v>
      </c>
      <c r="E15" s="191">
        <f t="shared" si="4"/>
        <v>252124.25856640012</v>
      </c>
      <c r="F15" s="191">
        <f t="shared" si="0"/>
        <v>189093193.9248001</v>
      </c>
      <c r="G15" s="192">
        <f t="shared" si="3"/>
        <v>625713.44715626654</v>
      </c>
      <c r="H15" s="192">
        <f t="shared" si="1"/>
        <v>469285085.3671999</v>
      </c>
      <c r="I15" s="203"/>
    </row>
    <row r="16" spans="2:9">
      <c r="B16" s="188">
        <v>2025</v>
      </c>
      <c r="C16" s="189">
        <f>C15*1.1</f>
        <v>924455.61474346719</v>
      </c>
      <c r="D16" s="190">
        <f t="shared" si="2"/>
        <v>693341711.05760038</v>
      </c>
      <c r="E16" s="191">
        <f t="shared" si="4"/>
        <v>277336.68442304013</v>
      </c>
      <c r="F16" s="191">
        <f t="shared" si="0"/>
        <v>208002513.31728011</v>
      </c>
      <c r="G16" s="192">
        <f t="shared" si="3"/>
        <v>348376.76273322641</v>
      </c>
      <c r="H16" s="192">
        <f t="shared" si="1"/>
        <v>261282572.04991981</v>
      </c>
      <c r="I16" s="203"/>
    </row>
    <row r="17" spans="2:9">
      <c r="B17" s="188">
        <v>2026</v>
      </c>
      <c r="C17" s="189">
        <f>C16*1.1</f>
        <v>1016901.176217814</v>
      </c>
      <c r="D17" s="190">
        <f t="shared" si="2"/>
        <v>762675882.16336048</v>
      </c>
      <c r="E17" s="191">
        <f t="shared" si="4"/>
        <v>305070.3528653442</v>
      </c>
      <c r="F17" s="191">
        <f t="shared" si="0"/>
        <v>228802764.64900815</v>
      </c>
      <c r="G17" s="192">
        <f t="shared" si="3"/>
        <v>43306.409867882205</v>
      </c>
      <c r="H17" s="192">
        <f t="shared" si="1"/>
        <v>32479807.400911655</v>
      </c>
      <c r="I17" s="203"/>
    </row>
    <row r="18" spans="2:9">
      <c r="B18" s="188">
        <v>2027</v>
      </c>
      <c r="C18" s="189">
        <f t="shared" ref="C18:C19" si="5">C17*1.1</f>
        <v>1118591.2938395955</v>
      </c>
      <c r="D18" s="190">
        <f t="shared" si="2"/>
        <v>838943470.37969661</v>
      </c>
      <c r="E18" s="191">
        <f t="shared" si="4"/>
        <v>335577.38815187867</v>
      </c>
      <c r="F18" s="191">
        <f t="shared" si="0"/>
        <v>251683041.11390901</v>
      </c>
      <c r="G18" s="192">
        <f t="shared" si="3"/>
        <v>-292270.97828399646</v>
      </c>
      <c r="H18" s="192">
        <f t="shared" si="1"/>
        <v>-219203233.71299735</v>
      </c>
      <c r="I18" s="203"/>
    </row>
    <row r="19" spans="2:9">
      <c r="B19" s="188">
        <v>2028</v>
      </c>
      <c r="C19" s="189">
        <f t="shared" si="5"/>
        <v>1230450.4232235551</v>
      </c>
      <c r="D19" s="190">
        <f t="shared" si="2"/>
        <v>922837817.41766632</v>
      </c>
      <c r="E19" s="191">
        <v>195433.59</v>
      </c>
      <c r="F19" s="191">
        <f t="shared" si="0"/>
        <v>146575192.5</v>
      </c>
      <c r="G19" s="192">
        <f t="shared" si="3"/>
        <v>-487704.56828399643</v>
      </c>
      <c r="H19" s="192">
        <f t="shared" si="1"/>
        <v>-365778426.21299732</v>
      </c>
      <c r="I19" s="203"/>
    </row>
    <row r="20" spans="2:9" ht="15.75" thickBot="1">
      <c r="B20" s="206">
        <v>2029</v>
      </c>
      <c r="C20" s="193">
        <f t="shared" ref="C20" si="6">C19*1.1</f>
        <v>1353495.4655459106</v>
      </c>
      <c r="D20" s="204">
        <f t="shared" si="2"/>
        <v>1015121599.159433</v>
      </c>
      <c r="E20" s="194">
        <v>49442.23</v>
      </c>
      <c r="F20" s="194">
        <f t="shared" si="0"/>
        <v>37081672.5</v>
      </c>
      <c r="G20" s="195">
        <f t="shared" ref="G20" si="7">G19-E20</f>
        <v>-537146.79828399641</v>
      </c>
      <c r="H20" s="195">
        <f t="shared" si="1"/>
        <v>-402860098.71299732</v>
      </c>
      <c r="I20" s="205" t="s">
        <v>165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P &amp; L statement </vt:lpstr>
      <vt:lpstr>Projected Repayments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cp:lastPrinted>2019-07-21T13:04:23Z</cp:lastPrinted>
  <dcterms:created xsi:type="dcterms:W3CDTF">2018-09-12T13:26:00Z</dcterms:created>
  <dcterms:modified xsi:type="dcterms:W3CDTF">2019-07-21T16:01:29Z</dcterms:modified>
</cp:coreProperties>
</file>